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mbeddings/oleObject21.bin" ContentType="application/vnd.openxmlformats-officedocument.oleObject"/>
  <Override PartName="/xl/drawings/drawing6.xml" ContentType="application/vnd.openxmlformats-officedocument.drawing+xml"/>
  <Override PartName="/xl/embeddings/oleObject32.bin" ContentType="application/vnd.openxmlformats-officedocument.oleObject"/>
  <Override PartName="/xl/worksheets/sheet7.xml" ContentType="application/vnd.openxmlformats-officedocument.spreadsheetml.worksheet+xml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charts/chart14.xml" ContentType="application/vnd.openxmlformats-officedocument.drawingml.chart+xml"/>
  <Override PartName="/xl/embeddings/oleObject28.bin" ContentType="application/vnd.openxmlformats-officedocument.oleObject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embeddings/oleObject37.bin" ContentType="application/vnd.openxmlformats-officedocument.oleObject"/>
  <Override PartName="/xl/embeddings/oleObject9.bin" ContentType="application/vnd.openxmlformats-officedocument.oleObject"/>
  <Override PartName="/xl/embeddings/oleObject17.bin" ContentType="application/vnd.openxmlformats-officedocument.oleObject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embeddings/oleObject26.bin" ContentType="application/vnd.openxmlformats-officedocument.oleObject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embeddings/oleObject35.bin" ContentType="application/vnd.openxmlformats-officedocument.oleObject"/>
  <Default Extension="bin" ContentType="application/vnd.openxmlformats-officedocument.spreadsheetml.printerSettings"/>
  <Override PartName="/xl/embeddings/oleObject7.bin" ContentType="application/vnd.openxmlformats-officedocument.oleObject"/>
  <Default Extension="png" ContentType="image/png"/>
  <Override PartName="/xl/embeddings/oleObject15.bin" ContentType="application/vnd.openxmlformats-officedocument.oleObject"/>
  <Override PartName="/xl/charts/chart7.xml" ContentType="application/vnd.openxmlformats-officedocument.drawingml.chart+xml"/>
  <Override PartName="/xl/embeddings/oleObject24.bin" ContentType="application/vnd.openxmlformats-officedocument.oleObject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embeddings/oleObject33.bin" ContentType="application/vnd.openxmlformats-officedocument.oleObject"/>
  <Override PartName="/xl/worksheets/sheet14.xml" ContentType="application/vnd.openxmlformats-officedocument.spreadsheetml.worksheet+xml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embeddings/oleObject31.bin" ContentType="application/vnd.openxmlformats-officedocument.oleObject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Default Extension="emf" ContentType="image/x-emf"/>
  <Override PartName="/xl/embeddings/oleObject11.bin" ContentType="application/vnd.openxmlformats-officedocument.oleObject"/>
  <Override PartName="/xl/embeddings/oleObject20.bin" ContentType="application/vnd.openxmlformats-officedocument.oleObject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Default Extension="vml" ContentType="application/vnd.openxmlformats-officedocument.vmlDrawing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embeddings/oleObject18.bin" ContentType="application/vnd.openxmlformats-officedocument.oleObject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embeddings/oleObject29.bin" ContentType="application/vnd.openxmlformats-officedocument.oleObject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embeddings/oleObject38.bin" ContentType="application/vnd.openxmlformats-officedocument.oleObject"/>
  <Override PartName="/xl/embeddings/oleObject16.bin" ContentType="application/vnd.openxmlformats-officedocument.oleObject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embeddings/oleObject36.bin" ContentType="application/vnd.openxmlformats-officedocument.oleObject"/>
  <Override PartName="/xl/charts/chart4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embeddings/oleObject23.bin" ContentType="application/vnd.openxmlformats-officedocument.oleObject"/>
  <Override PartName="/xl/charts/chart20.xml" ContentType="application/vnd.openxmlformats-officedocument.drawingml.chart+xml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embeddings/oleObject30.bin" ContentType="application/vnd.openxmlformats-officedocument.oleObject"/>
  <Default Extension="rels" ContentType="application/vnd.openxmlformats-package.relationships+xml"/>
  <Override PartName="/xl/worksheets/sheet5.xml" ContentType="application/vnd.openxmlformats-officedocument.spreadsheetml.worksheet+xml"/>
  <Override PartName="/xl/embeddings/oleObject2.bin" ContentType="application/vnd.openxmlformats-officedocument.oleObject"/>
  <Override PartName="/xl/charts/chart2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665" windowWidth="8310" windowHeight="7350" tabRatio="892" activeTab="3"/>
  </bookViews>
  <sheets>
    <sheet name="1) Set Units " sheetId="2" r:id="rId1"/>
    <sheet name="2) Choose Material" sheetId="6" r:id="rId2"/>
    <sheet name="3) Set Cross Section" sheetId="7" r:id="rId3"/>
    <sheet name="Column Buckling" sheetId="19" r:id="rId4"/>
    <sheet name="Simple - Conc. F" sheetId="9" r:id="rId5"/>
    <sheet name="Simple -Conc. M" sheetId="8" r:id="rId6"/>
    <sheet name="Simple - Dist. A" sheetId="10" r:id="rId7"/>
    <sheet name="Simple - Dist. B" sheetId="18" r:id="rId8"/>
    <sheet name="Simple A + B" sheetId="12" r:id="rId9"/>
    <sheet name="Cant.-Conc. F" sheetId="14" r:id="rId10"/>
    <sheet name="Cant. Conc. M" sheetId="13" r:id="rId11"/>
    <sheet name="Cant.-Dist.A" sheetId="15" r:id="rId12"/>
    <sheet name="Cant.-Dist.B" sheetId="16" r:id="rId13"/>
    <sheet name="Cant 1+2" sheetId="17" r:id="rId14"/>
  </sheets>
  <definedNames>
    <definedName name="a" localSheetId="13">'Cant 1+2'!$B$10</definedName>
    <definedName name="a" localSheetId="10">'Cant. Conc. M'!$B$10</definedName>
    <definedName name="a" localSheetId="9">'Cant.-Conc. F'!$B$10</definedName>
    <definedName name="a" localSheetId="11">'Cant.-Dist.A'!$B$10</definedName>
    <definedName name="a" localSheetId="12">'Cant.-Dist.B'!$B$10</definedName>
    <definedName name="a" localSheetId="3">'Column Buckling'!$B$10</definedName>
    <definedName name="a" localSheetId="4">'Simple - Conc. F'!$B$10</definedName>
    <definedName name="a" localSheetId="7">'Simple - Dist. B'!$B$10</definedName>
    <definedName name="a" localSheetId="8">'Simple A + B'!$B$10</definedName>
    <definedName name="a" localSheetId="5">'Simple -Conc. M'!$B$10</definedName>
    <definedName name="a">'Simple - Dist. A'!$B$10</definedName>
    <definedName name="a_C1" localSheetId="13">'Cant 1+2'!$E$56</definedName>
    <definedName name="a_C1" localSheetId="10">'Cant. Conc. M'!$E$56</definedName>
    <definedName name="a_C1" localSheetId="9">'Cant.-Conc. F'!$E$56</definedName>
    <definedName name="a_C1" localSheetId="11">'Cant.-Dist.A'!$E$56</definedName>
    <definedName name="a_C1" localSheetId="12">'Cant.-Dist.B'!$E$56</definedName>
    <definedName name="a_C1" localSheetId="3">'Column Buckling'!$E$56</definedName>
    <definedName name="a_C1" localSheetId="4">'Simple - Conc. F'!$E$56</definedName>
    <definedName name="a_C1" localSheetId="7">'Simple - Dist. B'!$E$56</definedName>
    <definedName name="a_C1" localSheetId="8">'Simple A + B'!$E$56</definedName>
    <definedName name="a_C1" localSheetId="5">'Simple -Conc. M'!$E$56</definedName>
    <definedName name="a_C1">'Simple - Dist. A'!$E$56</definedName>
    <definedName name="a_C1p" localSheetId="13">'Cant 1+2'!$E$58</definedName>
    <definedName name="a_C1p" localSheetId="10">'Cant. Conc. M'!$E$58</definedName>
    <definedName name="a_C1p" localSheetId="9">'Cant.-Conc. F'!$E$58</definedName>
    <definedName name="a_C1p" localSheetId="11">'Cant.-Dist.A'!$E$58</definedName>
    <definedName name="a_C1p" localSheetId="12">'Cant.-Dist.B'!$E$58</definedName>
    <definedName name="a_C1p" localSheetId="3">'Column Buckling'!$E$58</definedName>
    <definedName name="a_C1p" localSheetId="4">'Simple - Conc. F'!$E$58</definedName>
    <definedName name="a_C1p" localSheetId="7">'Simple - Dist. B'!$E$58</definedName>
    <definedName name="a_C1p" localSheetId="8">'Simple A + B'!$E$58</definedName>
    <definedName name="a_C1p" localSheetId="5">'Simple -Conc. M'!$E$58</definedName>
    <definedName name="a_C1p">'Simple - Dist. A'!$E$58</definedName>
    <definedName name="a_C1pp" localSheetId="13">'Cant 1+2'!$E$60</definedName>
    <definedName name="a_C1pp" localSheetId="10">'Cant. Conc. M'!$E$60</definedName>
    <definedName name="a_C1pp" localSheetId="9">'Cant.-Conc. F'!$E$60</definedName>
    <definedName name="a_C1pp" localSheetId="11">'Cant.-Dist.A'!$E$60</definedName>
    <definedName name="a_C1pp" localSheetId="12">'Cant.-Dist.B'!$E$60</definedName>
    <definedName name="a_C1pp" localSheetId="3">'Column Buckling'!$E$60</definedName>
    <definedName name="a_C1pp" localSheetId="4">'Simple - Conc. F'!$E$60</definedName>
    <definedName name="a_C1pp" localSheetId="7">'Simple - Dist. B'!$E$60</definedName>
    <definedName name="a_C1pp" localSheetId="8">'Simple A + B'!$E$60</definedName>
    <definedName name="a_C1pp" localSheetId="5">'Simple -Conc. M'!$E$60</definedName>
    <definedName name="a_C1pp">'Simple - Dist. A'!$E$60</definedName>
    <definedName name="a_C2" localSheetId="13">'Cant 1+2'!$E$57</definedName>
    <definedName name="a_C2" localSheetId="10">'Cant. Conc. M'!$E$57</definedName>
    <definedName name="a_C2" localSheetId="9">'Cant.-Conc. F'!$E$57</definedName>
    <definedName name="a_C2" localSheetId="11">'Cant.-Dist.A'!$E$57</definedName>
    <definedName name="a_C2" localSheetId="12">'Cant.-Dist.B'!$E$57</definedName>
    <definedName name="a_C2" localSheetId="3">'Column Buckling'!$E$57</definedName>
    <definedName name="a_C2" localSheetId="4">'Simple - Conc. F'!$E$57</definedName>
    <definedName name="a_C2" localSheetId="7">'Simple - Dist. B'!$E$57</definedName>
    <definedName name="a_C2" localSheetId="8">'Simple A + B'!$E$57</definedName>
    <definedName name="a_C2" localSheetId="5">'Simple -Conc. M'!$E$57</definedName>
    <definedName name="a_C2">'Simple - Dist. A'!$E$57</definedName>
    <definedName name="a_C2p" localSheetId="13">'Cant 1+2'!$E$59</definedName>
    <definedName name="a_C2p" localSheetId="10">'Cant. Conc. M'!$E$59</definedName>
    <definedName name="a_C2p" localSheetId="9">'Cant.-Conc. F'!$E$59</definedName>
    <definedName name="a_C2p" localSheetId="11">'Cant.-Dist.A'!$E$59</definedName>
    <definedName name="a_C2p" localSheetId="12">'Cant.-Dist.B'!$E$59</definedName>
    <definedName name="a_C2p" localSheetId="3">'Column Buckling'!$E$59</definedName>
    <definedName name="a_C2p" localSheetId="4">'Simple - Conc. F'!$E$59</definedName>
    <definedName name="a_C2p" localSheetId="7">'Simple - Dist. B'!$E$59</definedName>
    <definedName name="a_C2p" localSheetId="8">'Simple A + B'!$E$59</definedName>
    <definedName name="a_C2p" localSheetId="5">'Simple -Conc. M'!$E$59</definedName>
    <definedName name="a_C2p">'Simple - Dist. A'!$E$59</definedName>
    <definedName name="a_C2pp" localSheetId="13">'Cant 1+2'!$E$61</definedName>
    <definedName name="a_C2pp" localSheetId="10">'Cant. Conc. M'!$E$61</definedName>
    <definedName name="a_C2pp" localSheetId="9">'Cant.-Conc. F'!$E$61</definedName>
    <definedName name="a_C2pp" localSheetId="11">'Cant.-Dist.A'!$E$61</definedName>
    <definedName name="a_C2pp" localSheetId="12">'Cant.-Dist.B'!$E$61</definedName>
    <definedName name="a_C2pp" localSheetId="3">'Column Buckling'!$E$61</definedName>
    <definedName name="a_C2pp" localSheetId="4">'Simple - Conc. F'!$E$61</definedName>
    <definedName name="a_C2pp" localSheetId="7">'Simple - Dist. B'!$E$61</definedName>
    <definedName name="a_C2pp" localSheetId="8">'Simple A + B'!$E$61</definedName>
    <definedName name="a_C2pp" localSheetId="5">'Simple -Conc. M'!$E$61</definedName>
    <definedName name="a_C2pp">'Simple - Dist. A'!$E$61</definedName>
    <definedName name="A_CS">'3) Set Cross Section'!$F$8</definedName>
    <definedName name="ActivationID">'1) Set Units '!$C$4</definedName>
    <definedName name="ActiveMaterial">'2) Choose Material'!$B$7</definedName>
    <definedName name="ActiveSection">'3) Set Cross Section'!$B$8</definedName>
    <definedName name="ActiveUnits">'1) Set Units '!$B$21</definedName>
    <definedName name="b" localSheetId="13">'Cant 1+2'!$E$10</definedName>
    <definedName name="b" localSheetId="11">'Cant.-Dist.A'!$E$10</definedName>
    <definedName name="b" localSheetId="12">'Cant.-Dist.B'!$E$10</definedName>
    <definedName name="b" localSheetId="6">'Simple - Dist. A'!$E$10</definedName>
    <definedName name="b" localSheetId="7">'Simple - Dist. B'!$E$10</definedName>
    <definedName name="b" localSheetId="8">'Simple A + B'!$E$10</definedName>
    <definedName name="cm_to_in">'1) Set Units '!$N$21</definedName>
    <definedName name="cm_to_m">'1) Set Units '!$N$20</definedName>
    <definedName name="Conv_E">'1) Set Units '!$N$46</definedName>
    <definedName name="Conv_r">'1) Set Units '!$N$48</definedName>
    <definedName name="Conv_s">'1) Set Units '!$N$47</definedName>
    <definedName name="Conv_x">'1) Set Units '!$N$49</definedName>
    <definedName name="CopyrightNotice">'1) Set Units '!$F$2</definedName>
    <definedName name="CorrectID">'1) Set Units '!$F$4</definedName>
    <definedName name="Density">'2) Choose Material'!$E$7</definedName>
    <definedName name="DistanceUnits">'1) Set Units '!$C$21</definedName>
    <definedName name="E">'2) Choose Material'!$C$7</definedName>
    <definedName name="ElliA">'3) Set Cross Section'!$I$35</definedName>
    <definedName name="ElliB">'3) Set Cross Section'!$E$32</definedName>
    <definedName name="ElliB_">'3) Set Cross Section'!$E$34</definedName>
    <definedName name="ElliH">'3) Set Cross Section'!$E$33</definedName>
    <definedName name="ElliH_">'3) Set Cross Section'!$E$35</definedName>
    <definedName name="ElliIx">'3) Set Cross Section'!$E$38</definedName>
    <definedName name="ElliIx1">'3) Set Cross Section'!$E$41</definedName>
    <definedName name="ElliIy">'3) Set Cross Section'!$E$39</definedName>
    <definedName name="ElliIy1">'3) Set Cross Section'!$E$42</definedName>
    <definedName name="ElliIz">'3) Set Cross Section'!$E$40</definedName>
    <definedName name="ElliIz1">'3) Set Cross Section'!$E$43</definedName>
    <definedName name="ElliKz">'3) Set Cross Section'!$I$40</definedName>
    <definedName name="ElliXb">'3) Set Cross Section'!$I$33</definedName>
    <definedName name="ElliYb">'3) Set Cross Section'!$I$34</definedName>
    <definedName name="Expiration">'1) Set Units '!$F$3</definedName>
    <definedName name="foo" localSheetId="11">'Cant.-Dist.A'!$E$6</definedName>
    <definedName name="foo" localSheetId="12">'Cant.-Dist.B'!$E$6</definedName>
    <definedName name="foo">'Cant.-Conc. F'!$E$6</definedName>
    <definedName name="ForceUnits">'1) Set Units '!$E$21</definedName>
    <definedName name="ft_to_in">'1) Set Units '!$L$23</definedName>
    <definedName name="ft_to_m">'1) Set Units '!$L$22</definedName>
    <definedName name="g_SI">'1) Set Units '!$L$36</definedName>
    <definedName name="g_to_kg">'1) Set Units '!$L$27</definedName>
    <definedName name="I_a" localSheetId="11">'Cant.-Dist.A'!$N$23</definedName>
    <definedName name="I_a" localSheetId="12">'Cant.-Dist.B'!$N$23</definedName>
    <definedName name="IBeamA">'3) Set Cross Section'!$I$51</definedName>
    <definedName name="IBeamB">'3) Set Cross Section'!$E$48</definedName>
    <definedName name="IBeamH">'3) Set Cross Section'!$E$49</definedName>
    <definedName name="IBeamIx">'3) Set Cross Section'!$E$54</definedName>
    <definedName name="IBeamIx1">'3) Set Cross Section'!$E$57</definedName>
    <definedName name="IBeamIy">'3) Set Cross Section'!$E$55</definedName>
    <definedName name="IBeamIy1">'3) Set Cross Section'!$E$58</definedName>
    <definedName name="IBeamIz">'3) Set Cross Section'!$E$56</definedName>
    <definedName name="IbeamIz1">'3) Set Cross Section'!$E$59</definedName>
    <definedName name="IBeamKz">'3) Set Cross Section'!$I$56</definedName>
    <definedName name="IBeamTf">'3) Set Cross Section'!$E$50</definedName>
    <definedName name="IBeamTw">'3) Set Cross Section'!$E$51</definedName>
    <definedName name="IbeamXb">'3) Set Cross Section'!$I$49</definedName>
    <definedName name="IBeamYb">'3) Set Cross Section'!$I$50</definedName>
    <definedName name="in_to_cm">'1) Set Units '!$L$21</definedName>
    <definedName name="in_to_ft">'1) Set Units '!$N$23</definedName>
    <definedName name="InGracePeriod">'1) Set Units '!$F$6</definedName>
    <definedName name="IsRegistered">'1) Set Units '!$F$5</definedName>
    <definedName name="IsValidUser">'1) Set Units '!$F$7</definedName>
    <definedName name="Ix">'3) Set Cross Section'!$E$8</definedName>
    <definedName name="K" localSheetId="13">'Cant 1+2'!$D$13</definedName>
    <definedName name="K" localSheetId="10">'Cant. Conc. M'!$D$13</definedName>
    <definedName name="K" localSheetId="9">'Cant.-Conc. F'!$D$13</definedName>
    <definedName name="K" localSheetId="11">'Cant.-Dist.A'!$D$13</definedName>
    <definedName name="K" localSheetId="12">'Cant.-Dist.B'!$D$13</definedName>
    <definedName name="K" localSheetId="3">'Column Buckling'!#REF!</definedName>
    <definedName name="K" localSheetId="4">'Simple - Conc. F'!$D$13</definedName>
    <definedName name="K" localSheetId="7">'Simple - Dist. B'!$D$13</definedName>
    <definedName name="K" localSheetId="8">'Simple A + B'!$D$13</definedName>
    <definedName name="K" localSheetId="5">'Simple -Conc. M'!$D$13</definedName>
    <definedName name="K">'Simple - Dist. A'!$D$13</definedName>
    <definedName name="kg_to_g">'1) Set Units '!$N$27</definedName>
    <definedName name="kg_to_lb">'1) Set Units '!$L$30</definedName>
    <definedName name="kg_to_slug">'1) Set Units '!$N$28</definedName>
    <definedName name="L" localSheetId="13">'Cant 1+2'!$D$8</definedName>
    <definedName name="L" localSheetId="10">'Cant. Conc. M'!$F$10</definedName>
    <definedName name="L" localSheetId="9">'Cant.-Conc. F'!$F$10</definedName>
    <definedName name="L" localSheetId="11">'Cant.-Dist.A'!$F$10</definedName>
    <definedName name="L" localSheetId="12">'Cant.-Dist.B'!$F$10</definedName>
    <definedName name="L" localSheetId="3">'Column Buckling'!$F$10</definedName>
    <definedName name="L" localSheetId="4">'Simple - Conc. F'!$F$10</definedName>
    <definedName name="L" localSheetId="7">'Simple - Dist. B'!$F$10</definedName>
    <definedName name="L" localSheetId="8">'Simple A + B'!$D$8</definedName>
    <definedName name="L" localSheetId="5">'Simple -Conc. M'!$F$10</definedName>
    <definedName name="L">'Simple - Dist. A'!$F$10</definedName>
    <definedName name="lb_to_kg">'1) Set Units '!$N$30</definedName>
    <definedName name="lb_to_N">'1) Set Units '!$N$42</definedName>
    <definedName name="lb_to_slug">'1) Set Units '!$N$29</definedName>
    <definedName name="M" localSheetId="10">'Cant. Conc. M'!$D$10</definedName>
    <definedName name="M" localSheetId="5">'Simple -Conc. M'!$D$10</definedName>
    <definedName name="m_s_2">#REF!,'1) Set Units '!$L$35</definedName>
    <definedName name="m_to_cm">'1) Set Units '!$L$20</definedName>
    <definedName name="m_to_ft">'1) Set Units '!$N$22</definedName>
    <definedName name="Ma" localSheetId="10">'Cant. Conc. M'!$A$14</definedName>
    <definedName name="Ma" localSheetId="11">'Cant.-Dist.A'!$A$14</definedName>
    <definedName name="Ma" localSheetId="12">'Cant.-Dist.B'!$A$14</definedName>
    <definedName name="MassNWeightUnits">'1) Set Units '!$D$21</definedName>
    <definedName name="MaterialTable">'2) Choose Material'!$B$11:$G$175</definedName>
    <definedName name="Mmax" localSheetId="13">'Cant 1+2'!$Q$8</definedName>
    <definedName name="Mmax" localSheetId="10">'Cant. Conc. M'!$Q$8</definedName>
    <definedName name="Mmax" localSheetId="9">'Cant.-Conc. F'!$Q$8</definedName>
    <definedName name="Mmax" localSheetId="11">'Cant.-Dist.A'!$Q$8</definedName>
    <definedName name="Mmax" localSheetId="12">'Cant.-Dist.B'!$Q$8</definedName>
    <definedName name="Mmax" localSheetId="3">'Column Buckling'!$Q$8</definedName>
    <definedName name="Mmax" localSheetId="4">'Simple - Conc. F'!$Q$8</definedName>
    <definedName name="Mmax" localSheetId="7">'Simple - Dist. B'!$Q$8</definedName>
    <definedName name="Mmax" localSheetId="8">'Simple A + B'!$Q$8</definedName>
    <definedName name="Mmax" localSheetId="5">'Simple -Conc. M'!$Q$8</definedName>
    <definedName name="Mmax">'Simple - Dist. A'!$Q$8</definedName>
    <definedName name="N_to_lb">'1) Set Units '!$L$42</definedName>
    <definedName name="Organization" localSheetId="3">'1) Set Units '!#REF!</definedName>
    <definedName name="Organization">'1) Set Units '!#REF!</definedName>
    <definedName name="P" localSheetId="10">'Cant. Conc. M'!$D$10</definedName>
    <definedName name="P" localSheetId="9">'Cant.-Conc. F'!$D$10</definedName>
    <definedName name="P" localSheetId="3">'Column Buckling'!$D$10</definedName>
    <definedName name="P" localSheetId="5">'Simple -Conc. M'!$D$10</definedName>
    <definedName name="P">'Simple - Conc. F'!$D$10</definedName>
    <definedName name="Ra" localSheetId="13">'Cant 1+2'!$B$21</definedName>
    <definedName name="Ra" localSheetId="10">'Cant. Conc. M'!$B$21</definedName>
    <definedName name="Ra" localSheetId="9">'Cant.-Conc. F'!$A$23</definedName>
    <definedName name="Ra" localSheetId="11">'Cant.-Dist.A'!$A$23</definedName>
    <definedName name="Ra" localSheetId="12">'Cant.-Dist.B'!$A$23</definedName>
    <definedName name="Ra" localSheetId="3">'Column Buckling'!$B$21</definedName>
    <definedName name="Ra" localSheetId="4">'Simple - Conc. F'!$B$21</definedName>
    <definedName name="Ra" localSheetId="7">'Simple - Dist. B'!$B$21</definedName>
    <definedName name="Ra" localSheetId="8">'Simple A + B'!$B$21</definedName>
    <definedName name="Ra" localSheetId="5">'Simple -Conc. M'!$B$21</definedName>
    <definedName name="Ra">'Simple - Dist. A'!$B$21</definedName>
    <definedName name="Range" localSheetId="13">'Cant 1+2'!$K$12:$R$62</definedName>
    <definedName name="Range" localSheetId="10">'Cant. Conc. M'!$K$12:$R$62</definedName>
    <definedName name="Range" localSheetId="9">'Cant.-Conc. F'!$K$12:$R$62</definedName>
    <definedName name="Range" localSheetId="11">'Cant.-Dist.A'!$K$12:$R$62</definedName>
    <definedName name="Range" localSheetId="12">'Cant.-Dist.B'!$K$12:$R$62</definedName>
    <definedName name="Range" localSheetId="3">'Column Buckling'!$K$12:$R$62</definedName>
    <definedName name="Range" localSheetId="4">'Simple - Conc. F'!$K$12:$R$62</definedName>
    <definedName name="Range" localSheetId="7">'Simple - Dist. B'!$K$12:$R$62</definedName>
    <definedName name="Range" localSheetId="8">'Simple A + B'!$K$12:$R$62</definedName>
    <definedName name="Range" localSheetId="5">'Simple -Conc. M'!$K$12:$R$62</definedName>
    <definedName name="Range">'Simple - Dist. A'!$K$12:$R$62</definedName>
    <definedName name="Rb" localSheetId="13">'Cant 1+2'!$F$21</definedName>
    <definedName name="Rb" localSheetId="10">'Cant. Conc. M'!$F$21</definedName>
    <definedName name="Rb" localSheetId="9">'Cant.-Conc. F'!$F$21</definedName>
    <definedName name="Rb" localSheetId="11">'Cant.-Dist.A'!$F$21</definedName>
    <definedName name="Rb" localSheetId="12">'Cant.-Dist.B'!$F$21</definedName>
    <definedName name="Rb" localSheetId="3">'Column Buckling'!$F$21</definedName>
    <definedName name="Rb" localSheetId="4">'Simple - Conc. F'!$F$21</definedName>
    <definedName name="Rb" localSheetId="7">'Simple - Dist. B'!$F$21</definedName>
    <definedName name="Rb" localSheetId="8">'Simple A + B'!$F$21</definedName>
    <definedName name="Rb" localSheetId="5">'Simple -Conc. M'!$F$21</definedName>
    <definedName name="Rb">'Simple - Dist. A'!$F$21</definedName>
    <definedName name="RectA">'3) Set Cross Section'!$I$19</definedName>
    <definedName name="RectB">'3) Set Cross Section'!$E$16</definedName>
    <definedName name="RectB_">'3) Set Cross Section'!$E$18</definedName>
    <definedName name="RectH">'3) Set Cross Section'!$E$17</definedName>
    <definedName name="RectH_">'3) Set Cross Section'!$E$19</definedName>
    <definedName name="RectIx">'3) Set Cross Section'!$E$22</definedName>
    <definedName name="RectIx1">'3) Set Cross Section'!$E$25</definedName>
    <definedName name="RectIy">'3) Set Cross Section'!$E$23</definedName>
    <definedName name="RectIy1">'3) Set Cross Section'!$E$26</definedName>
    <definedName name="RectIz">'3) Set Cross Section'!$E$24</definedName>
    <definedName name="RectIz1">'3) Set Cross Section'!$E$27</definedName>
    <definedName name="RectKz">'3) Set Cross Section'!$I$24</definedName>
    <definedName name="RectXb">'3) Set Cross Section'!$I$17</definedName>
    <definedName name="RectYb">'3) Set Cross Section'!$I$18</definedName>
    <definedName name="RegisterFront">'1) Set Units '!$B$2</definedName>
    <definedName name="SectionTable">'3) Set Cross Section'!$B$9:$I$11</definedName>
    <definedName name="Sheet1">'Cant 1+2'!$D$6</definedName>
    <definedName name="Sheet2">'Cant 1+2'!$D$7</definedName>
    <definedName name="SheetA" localSheetId="13">'Cant 1+2'!$D$6</definedName>
    <definedName name="SheetA">'Simple A + B'!$D$6</definedName>
    <definedName name="SheetB" localSheetId="13">'Cant 1+2'!$D$7</definedName>
    <definedName name="SheetB">'Simple A + B'!$D$7</definedName>
    <definedName name="slug_to_kg">'1) Set Units '!$L$28</definedName>
    <definedName name="slug_to_lb">'1) Set Units '!$L$29</definedName>
    <definedName name="Strength">'2) Choose Material'!$D$7</definedName>
    <definedName name="UnitsTable">'1) Set Units '!$B$22:$E$23</definedName>
    <definedName name="US_to_SI_E">'1) Set Units '!$L$46</definedName>
    <definedName name="US_to_SI_r">'1) Set Units '!$L$48</definedName>
    <definedName name="US_to_SI_s">'1) Set Units '!$L$47</definedName>
    <definedName name="US_to_SI_x">'1) Set Units '!$L$49</definedName>
    <definedName name="UserName" localSheetId="3">'1) Set Units '!#REF!</definedName>
    <definedName name="UserName">'1) Set Units '!#REF!</definedName>
    <definedName name="V" localSheetId="13">'Cant 1+2'!$O$12:$O$62</definedName>
    <definedName name="V" localSheetId="10">'Cant. Conc. M'!$O$12:$O$62</definedName>
    <definedName name="V" localSheetId="9">'Cant.-Conc. F'!$O$12:$O$62</definedName>
    <definedName name="V" localSheetId="11">'Cant.-Dist.A'!$O$12:$O$62</definedName>
    <definedName name="V" localSheetId="12">'Cant.-Dist.B'!$O$12:$O$62</definedName>
    <definedName name="V" localSheetId="3">'Column Buckling'!$O$12:$O$62</definedName>
    <definedName name="V" localSheetId="4">'Simple - Conc. F'!$O$12:$O$62</definedName>
    <definedName name="V" localSheetId="7">'Simple - Dist. B'!$O$12:$O$62</definedName>
    <definedName name="V" localSheetId="8">'Simple A + B'!$O$12:$O$62</definedName>
    <definedName name="V" localSheetId="5">'Simple -Conc. M'!$O$12:$O$62</definedName>
    <definedName name="V">'Simple - Dist. A'!$O$12:$O$62</definedName>
    <definedName name="wb" localSheetId="13">'Cant 1+2'!$C$10</definedName>
    <definedName name="wb" localSheetId="11">'Cant.-Dist.A'!$C$10</definedName>
    <definedName name="wb" localSheetId="12">'Cant.-Dist.B'!$C$10</definedName>
    <definedName name="wb" localSheetId="6">'Simple - Dist. A'!$C$10</definedName>
    <definedName name="wb" localSheetId="7">'Simple - Dist. B'!$C$10</definedName>
    <definedName name="wb" localSheetId="8">'Simple A + B'!$C$10</definedName>
    <definedName name="wm" localSheetId="13">'Cant 1+2'!$D$10</definedName>
    <definedName name="wm" localSheetId="11">'Cant.-Dist.A'!$D$10</definedName>
    <definedName name="wm" localSheetId="12">'Cant.-Dist.B'!$D$10</definedName>
    <definedName name="wm" localSheetId="6">'Simple - Dist. A'!$D$10</definedName>
    <definedName name="wm" localSheetId="7">'Simple - Dist. B'!$D$10</definedName>
    <definedName name="wm" localSheetId="8">'Simple A + B'!$D$10</definedName>
    <definedName name="x" localSheetId="13">'Cant 1+2'!$L$12:$L$62</definedName>
    <definedName name="x" localSheetId="10">'Cant. Conc. M'!$L$12:$L$62</definedName>
    <definedName name="x" localSheetId="9">'Cant.-Conc. F'!$L$12:$L$62</definedName>
    <definedName name="x" localSheetId="11">'Cant.-Dist.A'!$L$12:$L$62</definedName>
    <definedName name="x" localSheetId="12">'Cant.-Dist.B'!$L$12:$L$62</definedName>
    <definedName name="x" localSheetId="3">'Column Buckling'!$L$12:$L$62</definedName>
    <definedName name="x" localSheetId="4">'Simple - Conc. F'!$L$12:$L$62</definedName>
    <definedName name="x" localSheetId="7">'Simple - Dist. B'!$L$12:$L$62</definedName>
    <definedName name="x" localSheetId="8">'Simple A + B'!$L$12:$L$62</definedName>
    <definedName name="x" localSheetId="5">'Simple -Conc. M'!$L$12:$L$62</definedName>
    <definedName name="x">'Simple - Dist. A'!$L$12:$L$62</definedName>
    <definedName name="Ybar">'3) Set Cross Section'!$I$8</definedName>
  </definedNames>
  <calcPr calcId="125725"/>
</workbook>
</file>

<file path=xl/calcChain.xml><?xml version="1.0" encoding="utf-8"?>
<calcChain xmlns="http://schemas.openxmlformats.org/spreadsheetml/2006/main">
  <c r="F10" i="15"/>
  <c r="G13" i="17"/>
  <c r="I13"/>
  <c r="F10" i="14" l="1"/>
  <c r="E49" i="7"/>
  <c r="E18"/>
  <c r="E17"/>
  <c r="E19"/>
  <c r="F10" i="19"/>
  <c r="B13" l="1"/>
  <c r="I12"/>
  <c r="H10"/>
  <c r="H8"/>
  <c r="G7" i="6"/>
  <c r="F3" i="2"/>
  <c r="F2"/>
  <c r="A14" i="13"/>
  <c r="A14" i="14"/>
  <c r="F6" i="2"/>
  <c r="F7" s="1"/>
  <c r="F4" i="18" s="1"/>
  <c r="F5" i="2"/>
  <c r="N20"/>
  <c r="N21"/>
  <c r="L22"/>
  <c r="N23"/>
  <c r="L27"/>
  <c r="N28"/>
  <c r="L29"/>
  <c r="N29" s="1"/>
  <c r="L30"/>
  <c r="N30" s="1"/>
  <c r="L35"/>
  <c r="N46"/>
  <c r="N47"/>
  <c r="D16" i="6" s="1"/>
  <c r="F16" s="1"/>
  <c r="N48" i="2"/>
  <c r="N49"/>
  <c r="D19"/>
  <c r="D20"/>
  <c r="C21"/>
  <c r="G14" i="19" s="1"/>
  <c r="D21" i="2"/>
  <c r="E21"/>
  <c r="D10" i="16"/>
  <c r="A14" s="1"/>
  <c r="A14" i="15"/>
  <c r="C16" i="6"/>
  <c r="D9" i="17"/>
  <c r="E16" i="6"/>
  <c r="D10" i="10"/>
  <c r="L7" i="18"/>
  <c r="M7"/>
  <c r="N7"/>
  <c r="O7"/>
  <c r="P7"/>
  <c r="Q7"/>
  <c r="R7"/>
  <c r="H8"/>
  <c r="D10"/>
  <c r="F21" s="1"/>
  <c r="E57"/>
  <c r="B9"/>
  <c r="C9"/>
  <c r="D9"/>
  <c r="E9"/>
  <c r="F9"/>
  <c r="H10"/>
  <c r="I12"/>
  <c r="K12"/>
  <c r="L12" s="1"/>
  <c r="K13"/>
  <c r="K14" s="1"/>
  <c r="G14"/>
  <c r="I14"/>
  <c r="B22"/>
  <c r="F22"/>
  <c r="I29"/>
  <c r="I34"/>
  <c r="I39"/>
  <c r="I44"/>
  <c r="I49"/>
  <c r="K12" i="17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I12"/>
  <c r="E57"/>
  <c r="H8"/>
  <c r="K12" i="15"/>
  <c r="L12" s="1"/>
  <c r="K12" i="16"/>
  <c r="L12" s="1"/>
  <c r="K13"/>
  <c r="L13" s="1"/>
  <c r="M7" i="17"/>
  <c r="A24"/>
  <c r="A15"/>
  <c r="E8"/>
  <c r="I14"/>
  <c r="I39"/>
  <c r="I34"/>
  <c r="O7"/>
  <c r="Q7"/>
  <c r="I49" s="1"/>
  <c r="I29"/>
  <c r="R7"/>
  <c r="P7"/>
  <c r="N7"/>
  <c r="G14"/>
  <c r="L7"/>
  <c r="H10"/>
  <c r="K12" i="14"/>
  <c r="L12" s="1"/>
  <c r="E57"/>
  <c r="I12"/>
  <c r="H8"/>
  <c r="A15"/>
  <c r="A24"/>
  <c r="M7"/>
  <c r="G14"/>
  <c r="D9"/>
  <c r="I14"/>
  <c r="I39"/>
  <c r="I34"/>
  <c r="O7"/>
  <c r="Q7"/>
  <c r="I49" s="1"/>
  <c r="I29"/>
  <c r="R7"/>
  <c r="P7"/>
  <c r="N7"/>
  <c r="B9"/>
  <c r="F9"/>
  <c r="L7"/>
  <c r="H10"/>
  <c r="K12" i="13"/>
  <c r="L12" s="1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E57"/>
  <c r="E56"/>
  <c r="M9"/>
  <c r="M8"/>
  <c r="M10" s="1"/>
  <c r="I12"/>
  <c r="H8"/>
  <c r="A24"/>
  <c r="A15"/>
  <c r="D9"/>
  <c r="S7" s="1"/>
  <c r="G14"/>
  <c r="I14"/>
  <c r="I39"/>
  <c r="I34"/>
  <c r="O7"/>
  <c r="Q7"/>
  <c r="I49" s="1"/>
  <c r="I44"/>
  <c r="I29"/>
  <c r="R7"/>
  <c r="P7"/>
  <c r="N7"/>
  <c r="B9"/>
  <c r="F9"/>
  <c r="L7"/>
  <c r="H10"/>
  <c r="I12" i="15"/>
  <c r="H8"/>
  <c r="F9"/>
  <c r="E9"/>
  <c r="D9"/>
  <c r="C9"/>
  <c r="B9"/>
  <c r="A15"/>
  <c r="A24"/>
  <c r="M7"/>
  <c r="G14"/>
  <c r="I14"/>
  <c r="I39"/>
  <c r="I34"/>
  <c r="O7"/>
  <c r="Q7"/>
  <c r="I49" s="1"/>
  <c r="I29"/>
  <c r="R7"/>
  <c r="P7"/>
  <c r="N7"/>
  <c r="L7"/>
  <c r="H10"/>
  <c r="I12" i="16"/>
  <c r="H8"/>
  <c r="F9"/>
  <c r="E9"/>
  <c r="D9"/>
  <c r="C9"/>
  <c r="B9"/>
  <c r="A15"/>
  <c r="A24"/>
  <c r="M7"/>
  <c r="G14"/>
  <c r="I14"/>
  <c r="I39"/>
  <c r="I34"/>
  <c r="O7"/>
  <c r="Q7"/>
  <c r="I49" s="1"/>
  <c r="I29"/>
  <c r="R7"/>
  <c r="P7"/>
  <c r="N7"/>
  <c r="L7"/>
  <c r="H10"/>
  <c r="F5" i="6"/>
  <c r="F138" s="1"/>
  <c r="F118"/>
  <c r="F96"/>
  <c r="F75"/>
  <c r="F23"/>
  <c r="E5"/>
  <c r="E138" s="1"/>
  <c r="E4"/>
  <c r="E137" s="1"/>
  <c r="E3"/>
  <c r="E136" s="1"/>
  <c r="E117"/>
  <c r="E95"/>
  <c r="E74"/>
  <c r="E22"/>
  <c r="E11"/>
  <c r="E6"/>
  <c r="E119" s="1"/>
  <c r="D6"/>
  <c r="D139" s="1"/>
  <c r="C6"/>
  <c r="C139" s="1"/>
  <c r="F6"/>
  <c r="F139" s="1"/>
  <c r="F97"/>
  <c r="F24"/>
  <c r="E139"/>
  <c r="E89"/>
  <c r="E14"/>
  <c r="C97"/>
  <c r="C24"/>
  <c r="D119"/>
  <c r="D76"/>
  <c r="E133"/>
  <c r="E132" s="1"/>
  <c r="D143"/>
  <c r="C143"/>
  <c r="E142"/>
  <c r="D142"/>
  <c r="C142"/>
  <c r="E141"/>
  <c r="D141"/>
  <c r="C141"/>
  <c r="E140"/>
  <c r="D140"/>
  <c r="C140"/>
  <c r="D133"/>
  <c r="F133" s="1"/>
  <c r="D132"/>
  <c r="E130"/>
  <c r="D130"/>
  <c r="F130" s="1"/>
  <c r="E113"/>
  <c r="E128" s="1"/>
  <c r="D128"/>
  <c r="F128" s="1"/>
  <c r="E127"/>
  <c r="D127"/>
  <c r="F127" s="1"/>
  <c r="D126"/>
  <c r="E125"/>
  <c r="D125"/>
  <c r="E111"/>
  <c r="E123" s="1"/>
  <c r="D123"/>
  <c r="E122"/>
  <c r="D122"/>
  <c r="E121"/>
  <c r="D121"/>
  <c r="F121"/>
  <c r="D113"/>
  <c r="F113"/>
  <c r="E112"/>
  <c r="D112"/>
  <c r="F112" s="1"/>
  <c r="D111"/>
  <c r="E110"/>
  <c r="D110"/>
  <c r="F110"/>
  <c r="E102"/>
  <c r="D102"/>
  <c r="F102" s="1"/>
  <c r="E101"/>
  <c r="D101"/>
  <c r="F101" s="1"/>
  <c r="E100"/>
  <c r="D100"/>
  <c r="E99"/>
  <c r="D99"/>
  <c r="F99" s="1"/>
  <c r="E98"/>
  <c r="D98"/>
  <c r="E91"/>
  <c r="D91"/>
  <c r="E90"/>
  <c r="D90"/>
  <c r="E83"/>
  <c r="D83"/>
  <c r="F83" s="1"/>
  <c r="E82"/>
  <c r="D82"/>
  <c r="E81"/>
  <c r="D81"/>
  <c r="E80"/>
  <c r="D80"/>
  <c r="E79"/>
  <c r="D79"/>
  <c r="E78"/>
  <c r="D78"/>
  <c r="E77"/>
  <c r="D77"/>
  <c r="E70"/>
  <c r="D70"/>
  <c r="E69"/>
  <c r="D69"/>
  <c r="F69"/>
  <c r="E68"/>
  <c r="D68"/>
  <c r="F68" s="1"/>
  <c r="E67"/>
  <c r="D67"/>
  <c r="F67" s="1"/>
  <c r="E66"/>
  <c r="D66"/>
  <c r="E65"/>
  <c r="D65"/>
  <c r="F65" s="1"/>
  <c r="E64"/>
  <c r="D64"/>
  <c r="E55"/>
  <c r="D55"/>
  <c r="E54"/>
  <c r="D54"/>
  <c r="E53"/>
  <c r="D53"/>
  <c r="F53" s="1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0"/>
  <c r="E7" s="1"/>
  <c r="D40"/>
  <c r="D7" s="1"/>
  <c r="E39"/>
  <c r="D39"/>
  <c r="F39"/>
  <c r="E38"/>
  <c r="D38"/>
  <c r="F38" s="1"/>
  <c r="E37"/>
  <c r="D37"/>
  <c r="F37" s="1"/>
  <c r="E36"/>
  <c r="D36"/>
  <c r="E35"/>
  <c r="D35"/>
  <c r="F35" s="1"/>
  <c r="E34"/>
  <c r="D34"/>
  <c r="E33"/>
  <c r="D33"/>
  <c r="E32"/>
  <c r="D32"/>
  <c r="E31"/>
  <c r="D31"/>
  <c r="F31" s="1"/>
  <c r="E30"/>
  <c r="D30"/>
  <c r="E29"/>
  <c r="D29"/>
  <c r="E28"/>
  <c r="D28"/>
  <c r="E27"/>
  <c r="D27"/>
  <c r="E26"/>
  <c r="D26"/>
  <c r="E25"/>
  <c r="D25"/>
  <c r="E17"/>
  <c r="D17"/>
  <c r="E15"/>
  <c r="D15"/>
  <c r="F15"/>
  <c r="C17"/>
  <c r="C25"/>
  <c r="C26"/>
  <c r="C27"/>
  <c r="C28"/>
  <c r="C29"/>
  <c r="C30"/>
  <c r="C31"/>
  <c r="C32"/>
  <c r="C33"/>
  <c r="C34"/>
  <c r="C35"/>
  <c r="C36"/>
  <c r="C37"/>
  <c r="C38"/>
  <c r="C39"/>
  <c r="C40"/>
  <c r="C42"/>
  <c r="C43"/>
  <c r="C44"/>
  <c r="C45"/>
  <c r="C46"/>
  <c r="C47"/>
  <c r="C48"/>
  <c r="C49"/>
  <c r="C50"/>
  <c r="C51"/>
  <c r="C53"/>
  <c r="C54"/>
  <c r="C55"/>
  <c r="C64"/>
  <c r="C65"/>
  <c r="C66"/>
  <c r="C67"/>
  <c r="C68"/>
  <c r="C69"/>
  <c r="C70"/>
  <c r="C77"/>
  <c r="C78"/>
  <c r="C79"/>
  <c r="C80"/>
  <c r="C81"/>
  <c r="C82"/>
  <c r="C83"/>
  <c r="C90"/>
  <c r="C91"/>
  <c r="C98"/>
  <c r="C99"/>
  <c r="C100"/>
  <c r="C101"/>
  <c r="C102"/>
  <c r="C110"/>
  <c r="C111"/>
  <c r="C112"/>
  <c r="C113"/>
  <c r="C121"/>
  <c r="C122"/>
  <c r="C123"/>
  <c r="C125"/>
  <c r="C126"/>
  <c r="C127"/>
  <c r="C128"/>
  <c r="C130"/>
  <c r="C132"/>
  <c r="C133"/>
  <c r="C15"/>
  <c r="D135"/>
  <c r="D9" i="12"/>
  <c r="K12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I12"/>
  <c r="H8"/>
  <c r="F21" i="10"/>
  <c r="K12"/>
  <c r="K13" s="1"/>
  <c r="E8" i="12"/>
  <c r="I14"/>
  <c r="I39"/>
  <c r="I34"/>
  <c r="O7"/>
  <c r="B22"/>
  <c r="F22"/>
  <c r="Q7"/>
  <c r="I49" s="1"/>
  <c r="I44"/>
  <c r="I29"/>
  <c r="R7"/>
  <c r="P7"/>
  <c r="N7"/>
  <c r="G14"/>
  <c r="L7"/>
  <c r="M7"/>
  <c r="H10"/>
  <c r="E57" i="10"/>
  <c r="K12" i="9"/>
  <c r="K13" s="1"/>
  <c r="K14" s="1"/>
  <c r="L12"/>
  <c r="F21"/>
  <c r="E57"/>
  <c r="I12"/>
  <c r="H8"/>
  <c r="M7"/>
  <c r="G14"/>
  <c r="D9"/>
  <c r="I14"/>
  <c r="I39"/>
  <c r="I34"/>
  <c r="O7"/>
  <c r="B22"/>
  <c r="F22"/>
  <c r="Q7"/>
  <c r="I49" s="1"/>
  <c r="I29"/>
  <c r="R7"/>
  <c r="P7"/>
  <c r="N7"/>
  <c r="B9"/>
  <c r="F9"/>
  <c r="L7"/>
  <c r="H10"/>
  <c r="F4" i="8"/>
  <c r="M9"/>
  <c r="M8"/>
  <c r="K12"/>
  <c r="L12" s="1"/>
  <c r="F21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8" s="1"/>
  <c r="I38" s="1"/>
  <c r="E57"/>
  <c r="I12"/>
  <c r="H8"/>
  <c r="D9"/>
  <c r="S7" s="1"/>
  <c r="G14"/>
  <c r="I14"/>
  <c r="I39"/>
  <c r="I34"/>
  <c r="O7"/>
  <c r="B22"/>
  <c r="F22"/>
  <c r="Q7"/>
  <c r="I49" s="1"/>
  <c r="I29"/>
  <c r="R7"/>
  <c r="P7"/>
  <c r="N7"/>
  <c r="B9"/>
  <c r="F9"/>
  <c r="L7"/>
  <c r="H10"/>
  <c r="B60" i="7"/>
  <c r="I18"/>
  <c r="I9" s="1"/>
  <c r="I17"/>
  <c r="I33"/>
  <c r="I49"/>
  <c r="F51"/>
  <c r="F50"/>
  <c r="J51"/>
  <c r="F49"/>
  <c r="J50"/>
  <c r="J49"/>
  <c r="F48"/>
  <c r="J54" s="1"/>
  <c r="J57" s="1"/>
  <c r="J55" s="1"/>
  <c r="J58" s="1"/>
  <c r="J56" s="1"/>
  <c r="J59" s="1"/>
  <c r="F54"/>
  <c r="F57" s="1"/>
  <c r="F55" s="1"/>
  <c r="F58" s="1"/>
  <c r="F56" s="1"/>
  <c r="F59" s="1"/>
  <c r="F35"/>
  <c r="F34"/>
  <c r="J35"/>
  <c r="F33"/>
  <c r="J34"/>
  <c r="J33"/>
  <c r="F32"/>
  <c r="J38" s="1"/>
  <c r="J41" s="1"/>
  <c r="J39" s="1"/>
  <c r="J42" s="1"/>
  <c r="J40" s="1"/>
  <c r="J43" s="1"/>
  <c r="F38"/>
  <c r="F41" s="1"/>
  <c r="F39" s="1"/>
  <c r="F42" s="1"/>
  <c r="F40" s="1"/>
  <c r="F43" s="1"/>
  <c r="F19"/>
  <c r="F18"/>
  <c r="J19"/>
  <c r="F17"/>
  <c r="J18"/>
  <c r="J17"/>
  <c r="F22"/>
  <c r="F25" s="1"/>
  <c r="F23" s="1"/>
  <c r="F26" s="1"/>
  <c r="F24" s="1"/>
  <c r="F27" s="1"/>
  <c r="F16"/>
  <c r="E7"/>
  <c r="F7"/>
  <c r="J22"/>
  <c r="J25" s="1"/>
  <c r="J23" s="1"/>
  <c r="J26" s="1"/>
  <c r="J24" s="1"/>
  <c r="J27" s="1"/>
  <c r="I7"/>
  <c r="I12" i="10"/>
  <c r="H8"/>
  <c r="H10"/>
  <c r="M7"/>
  <c r="I14"/>
  <c r="I39"/>
  <c r="I34"/>
  <c r="O7"/>
  <c r="B22"/>
  <c r="F22"/>
  <c r="Q7"/>
  <c r="I44" s="1"/>
  <c r="I29"/>
  <c r="R7"/>
  <c r="P7"/>
  <c r="N7"/>
  <c r="E9"/>
  <c r="B9"/>
  <c r="C9"/>
  <c r="D9"/>
  <c r="F9"/>
  <c r="G14"/>
  <c r="L7"/>
  <c r="D8" i="17"/>
  <c r="D8" i="12"/>
  <c r="F21"/>
  <c r="K13" i="15" l="1"/>
  <c r="L13" s="1"/>
  <c r="M11" i="13"/>
  <c r="K15" i="9"/>
  <c r="K16" s="1"/>
  <c r="L14"/>
  <c r="M10" i="8"/>
  <c r="L13" i="9"/>
  <c r="C7" i="6"/>
  <c r="F27"/>
  <c r="F29"/>
  <c r="F30"/>
  <c r="F44"/>
  <c r="F46"/>
  <c r="F48"/>
  <c r="F50"/>
  <c r="F51"/>
  <c r="F79"/>
  <c r="F81"/>
  <c r="F82"/>
  <c r="C76"/>
  <c r="C119"/>
  <c r="E63"/>
  <c r="E109"/>
  <c r="E61"/>
  <c r="E87"/>
  <c r="E107"/>
  <c r="E23"/>
  <c r="K13" i="13"/>
  <c r="L13" s="1"/>
  <c r="K14" i="16"/>
  <c r="I14" i="19"/>
  <c r="I19"/>
  <c r="L36" i="2"/>
  <c r="L49" s="1"/>
  <c r="E2" i="7"/>
  <c r="F4" i="9"/>
  <c r="F4" i="10"/>
  <c r="B21" i="8"/>
  <c r="B21" i="9"/>
  <c r="Q13" s="1"/>
  <c r="B21" i="10"/>
  <c r="F4" i="12"/>
  <c r="C2" i="6"/>
  <c r="F4" i="16"/>
  <c r="A23" i="13"/>
  <c r="F4" i="15"/>
  <c r="F4" i="13"/>
  <c r="I44" i="8"/>
  <c r="F25" i="6"/>
  <c r="F26"/>
  <c r="F33"/>
  <c r="F34"/>
  <c r="F42"/>
  <c r="F43"/>
  <c r="F9" i="19"/>
  <c r="F47" i="6"/>
  <c r="F55"/>
  <c r="F64"/>
  <c r="F77"/>
  <c r="F78"/>
  <c r="F91"/>
  <c r="F98"/>
  <c r="F125"/>
  <c r="F141"/>
  <c r="D24"/>
  <c r="D97"/>
  <c r="F76"/>
  <c r="F119"/>
  <c r="E96"/>
  <c r="I44" i="14"/>
  <c r="I44" i="17"/>
  <c r="F4" i="19"/>
  <c r="D9"/>
  <c r="E143" i="6"/>
  <c r="F132"/>
  <c r="E22" i="7"/>
  <c r="I19"/>
  <c r="F9" s="1"/>
  <c r="E23"/>
  <c r="F123" i="6"/>
  <c r="I49" i="10"/>
  <c r="F17" i="6"/>
  <c r="F28"/>
  <c r="F32"/>
  <c r="F36"/>
  <c r="F45"/>
  <c r="F49"/>
  <c r="F54"/>
  <c r="F66"/>
  <c r="F70"/>
  <c r="F80"/>
  <c r="F90"/>
  <c r="F100"/>
  <c r="F111"/>
  <c r="F122"/>
  <c r="F140"/>
  <c r="F142"/>
  <c r="D14"/>
  <c r="D63"/>
  <c r="D89"/>
  <c r="D109"/>
  <c r="F14"/>
  <c r="F63"/>
  <c r="F89"/>
  <c r="F109"/>
  <c r="E75"/>
  <c r="E118"/>
  <c r="I44" i="16"/>
  <c r="I44" i="15"/>
  <c r="L48" i="2"/>
  <c r="L46"/>
  <c r="L47" s="1"/>
  <c r="F143" i="6"/>
  <c r="A14" i="17"/>
  <c r="F4" i="14"/>
  <c r="O12" i="9"/>
  <c r="F4" i="17"/>
  <c r="C20" i="6"/>
  <c r="B21" i="18"/>
  <c r="O12" s="1"/>
  <c r="Q12" i="9"/>
  <c r="O14"/>
  <c r="B6" i="2"/>
  <c r="L13" i="1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12"/>
  <c r="L13" i="17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12"/>
  <c r="Q12" i="8"/>
  <c r="K17" i="9"/>
  <c r="L16"/>
  <c r="M11" i="8"/>
  <c r="M13" i="9"/>
  <c r="O13"/>
  <c r="E25" i="7"/>
  <c r="E24"/>
  <c r="I24" s="1"/>
  <c r="O9" i="8"/>
  <c r="K13"/>
  <c r="I44" i="9"/>
  <c r="M12"/>
  <c r="L15"/>
  <c r="M14" s="1"/>
  <c r="Q14"/>
  <c r="K14" i="10"/>
  <c r="L13"/>
  <c r="L14" i="18"/>
  <c r="K15"/>
  <c r="Q13" i="13"/>
  <c r="Q12" i="14"/>
  <c r="M13" i="16"/>
  <c r="M13" i="15"/>
  <c r="L13" i="18"/>
  <c r="Q12" i="13"/>
  <c r="M12" i="16"/>
  <c r="M12" i="15"/>
  <c r="M12" i="18"/>
  <c r="L12" i="10"/>
  <c r="F40" i="6"/>
  <c r="F7" s="1"/>
  <c r="E126"/>
  <c r="F126" s="1"/>
  <c r="C14"/>
  <c r="C63"/>
  <c r="C89"/>
  <c r="C109"/>
  <c r="E24"/>
  <c r="E76"/>
  <c r="E97"/>
  <c r="E12"/>
  <c r="E21"/>
  <c r="E60"/>
  <c r="E73"/>
  <c r="E86"/>
  <c r="E94"/>
  <c r="E106"/>
  <c r="E116"/>
  <c r="E13"/>
  <c r="E62"/>
  <c r="E88"/>
  <c r="E108"/>
  <c r="F13"/>
  <c r="F62"/>
  <c r="F88"/>
  <c r="F108"/>
  <c r="O9" i="13"/>
  <c r="O8"/>
  <c r="I38" s="1"/>
  <c r="S12"/>
  <c r="K14"/>
  <c r="K13" i="14"/>
  <c r="K14" i="15"/>
  <c r="B9" i="2"/>
  <c r="B10"/>
  <c r="A23" i="14"/>
  <c r="O12" s="1"/>
  <c r="B8" i="2"/>
  <c r="A23" i="16"/>
  <c r="A23" i="15"/>
  <c r="O13" s="1"/>
  <c r="E38" i="7"/>
  <c r="I35"/>
  <c r="F10" s="1"/>
  <c r="F8" s="1"/>
  <c r="I34"/>
  <c r="I10" s="1"/>
  <c r="I8" s="1"/>
  <c r="A23" i="17"/>
  <c r="B21" i="12"/>
  <c r="L14" i="16" l="1"/>
  <c r="M14" s="1"/>
  <c r="K15"/>
  <c r="P16" i="13"/>
  <c r="G13" i="19"/>
  <c r="I13" s="1"/>
  <c r="E39" i="7"/>
  <c r="P61" i="13"/>
  <c r="P53"/>
  <c r="P45"/>
  <c r="P37"/>
  <c r="P29"/>
  <c r="P21"/>
  <c r="P13"/>
  <c r="P60"/>
  <c r="P52"/>
  <c r="P44"/>
  <c r="P36"/>
  <c r="P28"/>
  <c r="P20"/>
  <c r="P12"/>
  <c r="I23" i="7"/>
  <c r="E26"/>
  <c r="I26" s="1"/>
  <c r="E9"/>
  <c r="I22"/>
  <c r="P13" i="15"/>
  <c r="P57" i="13"/>
  <c r="P49"/>
  <c r="P41"/>
  <c r="P33"/>
  <c r="P25"/>
  <c r="P17"/>
  <c r="P56"/>
  <c r="P48"/>
  <c r="P40"/>
  <c r="P32"/>
  <c r="P24"/>
  <c r="Q12" i="18"/>
  <c r="O12" i="15"/>
  <c r="P12" i="14"/>
  <c r="I50" i="7"/>
  <c r="I11" s="1"/>
  <c r="E55"/>
  <c r="E57"/>
  <c r="E58"/>
  <c r="L13" i="14"/>
  <c r="K14"/>
  <c r="P12" i="18"/>
  <c r="G13" i="15"/>
  <c r="I13" s="1"/>
  <c r="G13" i="14"/>
  <c r="G13" i="16"/>
  <c r="I13" s="1"/>
  <c r="G13" i="18"/>
  <c r="I13" s="1"/>
  <c r="G13" i="13"/>
  <c r="I13" s="1"/>
  <c r="G13" i="10"/>
  <c r="P61" i="8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G13" i="9"/>
  <c r="I13" s="1"/>
  <c r="G13" i="8"/>
  <c r="I13" s="1"/>
  <c r="L14" i="15"/>
  <c r="K15"/>
  <c r="L14" i="13"/>
  <c r="K15"/>
  <c r="O10"/>
  <c r="O11" s="1"/>
  <c r="I33"/>
  <c r="Q12" i="10"/>
  <c r="M12"/>
  <c r="O12"/>
  <c r="K16" i="18"/>
  <c r="L15"/>
  <c r="M13" i="10"/>
  <c r="O13"/>
  <c r="Q13"/>
  <c r="K14" i="8"/>
  <c r="L13"/>
  <c r="I25" i="7"/>
  <c r="E27"/>
  <c r="I27" s="1"/>
  <c r="K18" i="9"/>
  <c r="L17"/>
  <c r="I51" i="7"/>
  <c r="F11" s="1"/>
  <c r="P59" i="13"/>
  <c r="P55"/>
  <c r="P51"/>
  <c r="P47"/>
  <c r="P43"/>
  <c r="P39"/>
  <c r="P35"/>
  <c r="P31"/>
  <c r="P27"/>
  <c r="P23"/>
  <c r="P19"/>
  <c r="P15"/>
  <c r="Q12" i="15"/>
  <c r="P62" i="13"/>
  <c r="P58"/>
  <c r="P54"/>
  <c r="P50"/>
  <c r="P46"/>
  <c r="P42"/>
  <c r="P38"/>
  <c r="P34"/>
  <c r="P30"/>
  <c r="P26"/>
  <c r="P22"/>
  <c r="P18"/>
  <c r="P14"/>
  <c r="Q13" i="15"/>
  <c r="P12" i="9"/>
  <c r="P12" i="8"/>
  <c r="P62"/>
  <c r="P58"/>
  <c r="P54"/>
  <c r="P50"/>
  <c r="P46"/>
  <c r="P42"/>
  <c r="P38"/>
  <c r="P34"/>
  <c r="P30"/>
  <c r="P26"/>
  <c r="P22"/>
  <c r="P18"/>
  <c r="P14"/>
  <c r="E10" i="7"/>
  <c r="E8" s="1"/>
  <c r="E60" i="16" s="1"/>
  <c r="G23" s="1"/>
  <c r="E41" i="7"/>
  <c r="I38"/>
  <c r="E40"/>
  <c r="I40" s="1"/>
  <c r="E58" i="14"/>
  <c r="P12" i="15"/>
  <c r="M13" i="18"/>
  <c r="Q13"/>
  <c r="O13"/>
  <c r="P13" s="1"/>
  <c r="P9" i="13"/>
  <c r="P8"/>
  <c r="M14" i="18"/>
  <c r="O14"/>
  <c r="P14" s="1"/>
  <c r="Q14"/>
  <c r="K15" i="10"/>
  <c r="L14"/>
  <c r="M15" i="9"/>
  <c r="O15"/>
  <c r="Q15"/>
  <c r="I33" i="8"/>
  <c r="O10"/>
  <c r="O11" s="1"/>
  <c r="M16" i="9"/>
  <c r="Q16"/>
  <c r="R16" s="1"/>
  <c r="O16"/>
  <c r="P16" s="1"/>
  <c r="E54" i="7"/>
  <c r="O12" i="16"/>
  <c r="Q12"/>
  <c r="O13"/>
  <c r="P13" s="1"/>
  <c r="Q13"/>
  <c r="R13" s="1"/>
  <c r="O14"/>
  <c r="P14" s="1"/>
  <c r="Q14"/>
  <c r="R14" s="1"/>
  <c r="E42" i="7"/>
  <c r="I42" s="1"/>
  <c r="R13" i="9"/>
  <c r="R12"/>
  <c r="P13"/>
  <c r="P60" i="8"/>
  <c r="P56"/>
  <c r="P52"/>
  <c r="P48"/>
  <c r="P44"/>
  <c r="P40"/>
  <c r="P36"/>
  <c r="P32"/>
  <c r="P28"/>
  <c r="P24"/>
  <c r="P20"/>
  <c r="P16"/>
  <c r="P14" i="9"/>
  <c r="I39" i="7"/>
  <c r="Q12" i="17"/>
  <c r="G13" i="12"/>
  <c r="M13"/>
  <c r="Q12"/>
  <c r="Q13"/>
  <c r="O12"/>
  <c r="O13"/>
  <c r="M12"/>
  <c r="P12" i="17"/>
  <c r="L15" i="16" l="1"/>
  <c r="K16"/>
  <c r="I18" i="19"/>
  <c r="R14" i="18"/>
  <c r="R12" i="14"/>
  <c r="P10" i="13"/>
  <c r="E56" i="14"/>
  <c r="P12" i="16"/>
  <c r="K16" i="10"/>
  <c r="L15"/>
  <c r="E43" i="7"/>
  <c r="I43" s="1"/>
  <c r="I41"/>
  <c r="P8" i="8"/>
  <c r="P9"/>
  <c r="O17" i="9"/>
  <c r="P17" s="1"/>
  <c r="Q17"/>
  <c r="R17" s="1"/>
  <c r="Q13" i="8"/>
  <c r="S12"/>
  <c r="P13" i="10"/>
  <c r="M15" i="18"/>
  <c r="O15"/>
  <c r="P15" s="1"/>
  <c r="Q15"/>
  <c r="R15" s="1"/>
  <c r="P12" i="10"/>
  <c r="R12"/>
  <c r="N14" i="13"/>
  <c r="Q14"/>
  <c r="S13"/>
  <c r="Q14" i="15"/>
  <c r="R14" s="1"/>
  <c r="O14"/>
  <c r="M14"/>
  <c r="I13" i="10"/>
  <c r="I13" i="14"/>
  <c r="Q13"/>
  <c r="O13"/>
  <c r="N13"/>
  <c r="M12"/>
  <c r="I57" i="7"/>
  <c r="E59"/>
  <c r="I59" s="1"/>
  <c r="R12" i="8"/>
  <c r="R15" i="9"/>
  <c r="E59" i="14"/>
  <c r="R13" i="13"/>
  <c r="R14" i="9"/>
  <c r="R12" i="13"/>
  <c r="E60" i="15"/>
  <c r="G23" s="1"/>
  <c r="R12" i="16"/>
  <c r="E11" i="7"/>
  <c r="I54"/>
  <c r="E56"/>
  <c r="I56" s="1"/>
  <c r="P15" i="9"/>
  <c r="M14" i="10"/>
  <c r="O14"/>
  <c r="Q14"/>
  <c r="P11" i="13"/>
  <c r="I24"/>
  <c r="R13" i="18"/>
  <c r="E60" i="10"/>
  <c r="G28" s="1"/>
  <c r="E58"/>
  <c r="E59"/>
  <c r="E61"/>
  <c r="E56" i="9"/>
  <c r="E56" i="10"/>
  <c r="E58" i="9"/>
  <c r="G28" s="1"/>
  <c r="E59"/>
  <c r="E58" i="8"/>
  <c r="G28" s="1"/>
  <c r="E59"/>
  <c r="E56"/>
  <c r="E56" i="17"/>
  <c r="E60"/>
  <c r="E61"/>
  <c r="N13" i="13"/>
  <c r="N12" i="14"/>
  <c r="E59" i="17"/>
  <c r="E59" i="13"/>
  <c r="E58" i="15"/>
  <c r="E58" i="17"/>
  <c r="E59" i="18"/>
  <c r="N15" i="16"/>
  <c r="N14"/>
  <c r="N13"/>
  <c r="E61" i="18"/>
  <c r="E60"/>
  <c r="G28" s="1"/>
  <c r="E59" i="16"/>
  <c r="E58"/>
  <c r="E59" i="15"/>
  <c r="G23" i="14"/>
  <c r="N12" i="16"/>
  <c r="E56" i="18"/>
  <c r="E58"/>
  <c r="E58" i="13"/>
  <c r="G23" s="1"/>
  <c r="N12"/>
  <c r="N12" i="15"/>
  <c r="R12"/>
  <c r="K19" i="9"/>
  <c r="L18"/>
  <c r="K15" i="8"/>
  <c r="L14"/>
  <c r="R13" i="10"/>
  <c r="L16" i="18"/>
  <c r="K17"/>
  <c r="L15" i="13"/>
  <c r="S14" s="1"/>
  <c r="K16"/>
  <c r="L15" i="15"/>
  <c r="K16"/>
  <c r="L14" i="14"/>
  <c r="M13" s="1"/>
  <c r="K15"/>
  <c r="R13" i="15"/>
  <c r="R12" i="18"/>
  <c r="E61" i="15"/>
  <c r="E61" i="16"/>
  <c r="I58" i="7"/>
  <c r="I55"/>
  <c r="O12" i="17"/>
  <c r="R12"/>
  <c r="O14" i="12"/>
  <c r="M13" i="17"/>
  <c r="R12" i="12"/>
  <c r="N12" i="17"/>
  <c r="M14" i="12"/>
  <c r="G28"/>
  <c r="I13"/>
  <c r="Q14"/>
  <c r="M12" i="17"/>
  <c r="R13" i="12"/>
  <c r="P13"/>
  <c r="P12"/>
  <c r="G23" i="17"/>
  <c r="N13" i="15" l="1"/>
  <c r="M15" i="16"/>
  <c r="O15"/>
  <c r="Q15"/>
  <c r="L16"/>
  <c r="K17"/>
  <c r="P10" i="8"/>
  <c r="N13" i="10"/>
  <c r="A28" i="8"/>
  <c r="N12"/>
  <c r="N13" i="9"/>
  <c r="A28"/>
  <c r="N12"/>
  <c r="N14"/>
  <c r="N15"/>
  <c r="N16"/>
  <c r="P14" i="10"/>
  <c r="P13" i="14"/>
  <c r="P14" i="15"/>
  <c r="P11" i="8"/>
  <c r="I24"/>
  <c r="M15" i="10"/>
  <c r="O15"/>
  <c r="Q15"/>
  <c r="N15"/>
  <c r="N14"/>
  <c r="N14" i="15"/>
  <c r="N13" i="8"/>
  <c r="Q14" i="14"/>
  <c r="O14"/>
  <c r="N14"/>
  <c r="N15" i="15"/>
  <c r="Q15"/>
  <c r="O15"/>
  <c r="P15" s="1"/>
  <c r="M15"/>
  <c r="N15" i="13"/>
  <c r="Q15"/>
  <c r="R15" s="1"/>
  <c r="M16" i="18"/>
  <c r="N16"/>
  <c r="O16"/>
  <c r="Q16"/>
  <c r="Q14" i="8"/>
  <c r="R14" s="1"/>
  <c r="N14"/>
  <c r="Q18" i="9"/>
  <c r="O18"/>
  <c r="N18"/>
  <c r="L15" i="14"/>
  <c r="K16"/>
  <c r="L16" i="15"/>
  <c r="K17"/>
  <c r="L16" i="13"/>
  <c r="K17"/>
  <c r="K18" i="18"/>
  <c r="L17"/>
  <c r="K16" i="8"/>
  <c r="L15"/>
  <c r="K20" i="9"/>
  <c r="L19"/>
  <c r="A28" i="18"/>
  <c r="N12"/>
  <c r="N14"/>
  <c r="N13"/>
  <c r="A28" i="10"/>
  <c r="N12"/>
  <c r="R14"/>
  <c r="R13" i="14"/>
  <c r="R14" i="13"/>
  <c r="R13" i="8"/>
  <c r="K17" i="10"/>
  <c r="L16"/>
  <c r="N15" i="18"/>
  <c r="S13" i="8"/>
  <c r="N17" i="9"/>
  <c r="M17"/>
  <c r="N13" i="17"/>
  <c r="O13"/>
  <c r="Q13"/>
  <c r="P14" i="12"/>
  <c r="Q15"/>
  <c r="N14"/>
  <c r="N13"/>
  <c r="R14"/>
  <c r="N15"/>
  <c r="P13" i="17"/>
  <c r="A28" i="12"/>
  <c r="O14" i="17"/>
  <c r="O15" i="12"/>
  <c r="N12"/>
  <c r="R13" i="17"/>
  <c r="M15" i="12"/>
  <c r="L17" i="16" l="1"/>
  <c r="K18"/>
  <c r="R15"/>
  <c r="M16"/>
  <c r="O16"/>
  <c r="P16" s="1"/>
  <c r="Q16"/>
  <c r="R16" s="1"/>
  <c r="N16"/>
  <c r="P15"/>
  <c r="M16" i="10"/>
  <c r="N16"/>
  <c r="O16"/>
  <c r="Q16"/>
  <c r="O19" i="9"/>
  <c r="P19" s="1"/>
  <c r="Q19"/>
  <c r="R19" s="1"/>
  <c r="N19"/>
  <c r="Q15" i="8"/>
  <c r="N15"/>
  <c r="M17" i="18"/>
  <c r="N17"/>
  <c r="Q17"/>
  <c r="R17" s="1"/>
  <c r="O17"/>
  <c r="P17" s="1"/>
  <c r="L17" i="13"/>
  <c r="K18"/>
  <c r="L17" i="15"/>
  <c r="K18"/>
  <c r="L16" i="14"/>
  <c r="K17"/>
  <c r="K18" i="10"/>
  <c r="L17"/>
  <c r="K21" i="9"/>
  <c r="L20"/>
  <c r="K17" i="8"/>
  <c r="L16"/>
  <c r="L18" i="18"/>
  <c r="K19"/>
  <c r="N16" i="13"/>
  <c r="Q16"/>
  <c r="S16"/>
  <c r="N16" i="15"/>
  <c r="Q16"/>
  <c r="R16" s="1"/>
  <c r="O16"/>
  <c r="P16" s="1"/>
  <c r="M16"/>
  <c r="M15" i="14"/>
  <c r="Q15"/>
  <c r="O15"/>
  <c r="N15"/>
  <c r="R18" i="9"/>
  <c r="P16" i="18"/>
  <c r="R15" i="15"/>
  <c r="R14" i="14"/>
  <c r="R15" i="10"/>
  <c r="P18" i="9"/>
  <c r="R16" i="18"/>
  <c r="P14" i="14"/>
  <c r="P15" i="10"/>
  <c r="M18" i="9"/>
  <c r="S14" i="8"/>
  <c r="S15" i="13"/>
  <c r="M14" i="14"/>
  <c r="Q14" i="17"/>
  <c r="N14"/>
  <c r="O15"/>
  <c r="R14"/>
  <c r="M16" i="12"/>
  <c r="T12"/>
  <c r="N15" i="17"/>
  <c r="N16" i="12"/>
  <c r="O16"/>
  <c r="M14" i="17"/>
  <c r="R15" i="12"/>
  <c r="P15"/>
  <c r="M15" i="17"/>
  <c r="Q16" i="12"/>
  <c r="P14" i="17"/>
  <c r="M17" i="16" l="1"/>
  <c r="O17"/>
  <c r="Q17"/>
  <c r="R17" s="1"/>
  <c r="N17"/>
  <c r="L18"/>
  <c r="K19"/>
  <c r="R16" i="13"/>
  <c r="L19" i="18"/>
  <c r="K20"/>
  <c r="Q16" i="8"/>
  <c r="R16" s="1"/>
  <c r="N16"/>
  <c r="Q20" i="9"/>
  <c r="O20"/>
  <c r="N20"/>
  <c r="M17" i="10"/>
  <c r="O17"/>
  <c r="Q17"/>
  <c r="N17"/>
  <c r="L17" i="14"/>
  <c r="K18"/>
  <c r="L18" i="15"/>
  <c r="K19"/>
  <c r="L18" i="13"/>
  <c r="K19"/>
  <c r="R15" i="8"/>
  <c r="P16" i="10"/>
  <c r="S15" i="8"/>
  <c r="M19" i="9"/>
  <c r="P15" i="14"/>
  <c r="R15"/>
  <c r="M18" i="18"/>
  <c r="N18"/>
  <c r="O18"/>
  <c r="Q18"/>
  <c r="K18" i="8"/>
  <c r="L17"/>
  <c r="K22" i="9"/>
  <c r="L21"/>
  <c r="K19" i="10"/>
  <c r="L18"/>
  <c r="M16" i="14"/>
  <c r="Q16"/>
  <c r="O16"/>
  <c r="N16"/>
  <c r="N17" i="15"/>
  <c r="Q17"/>
  <c r="O17"/>
  <c r="P17" s="1"/>
  <c r="M17"/>
  <c r="N17" i="13"/>
  <c r="Q17"/>
  <c r="R17" s="1"/>
  <c r="S17"/>
  <c r="R16" i="10"/>
  <c r="Q15" i="17"/>
  <c r="M17" i="12"/>
  <c r="N16" i="17"/>
  <c r="P15"/>
  <c r="R15"/>
  <c r="M16"/>
  <c r="R16" i="12"/>
  <c r="O16" i="17"/>
  <c r="O17" i="12"/>
  <c r="P16"/>
  <c r="N17"/>
  <c r="Q17"/>
  <c r="L19" i="16" l="1"/>
  <c r="K20"/>
  <c r="M18"/>
  <c r="O18"/>
  <c r="P18" s="1"/>
  <c r="Q18"/>
  <c r="N18"/>
  <c r="P17"/>
  <c r="P16" i="14"/>
  <c r="K20" i="10"/>
  <c r="L19"/>
  <c r="K23" i="9"/>
  <c r="L22"/>
  <c r="K19" i="8"/>
  <c r="L18"/>
  <c r="P18" i="18"/>
  <c r="L19" i="13"/>
  <c r="K20"/>
  <c r="L19" i="15"/>
  <c r="K20"/>
  <c r="L18" i="14"/>
  <c r="K19"/>
  <c r="P17" i="10"/>
  <c r="R20" i="9"/>
  <c r="M19" i="18"/>
  <c r="O19"/>
  <c r="P19" s="1"/>
  <c r="Q19"/>
  <c r="R19" s="1"/>
  <c r="N19"/>
  <c r="R17" i="15"/>
  <c r="R16" i="14"/>
  <c r="M18" i="10"/>
  <c r="O18"/>
  <c r="Q18"/>
  <c r="N18"/>
  <c r="M21" i="9"/>
  <c r="O21"/>
  <c r="P21" s="1"/>
  <c r="N21"/>
  <c r="Q21"/>
  <c r="R21" s="1"/>
  <c r="Q17" i="8"/>
  <c r="N17"/>
  <c r="S17"/>
  <c r="R18" i="18"/>
  <c r="N18" i="13"/>
  <c r="Q18"/>
  <c r="R18" s="1"/>
  <c r="S18"/>
  <c r="N18" i="15"/>
  <c r="Q18"/>
  <c r="R18" s="1"/>
  <c r="O18"/>
  <c r="M18"/>
  <c r="M17" i="14"/>
  <c r="Q17"/>
  <c r="O17"/>
  <c r="N17"/>
  <c r="R17" i="10"/>
  <c r="P20" i="9"/>
  <c r="L20" i="18"/>
  <c r="K21"/>
  <c r="M20" i="9"/>
  <c r="S16" i="8"/>
  <c r="Q16" i="17"/>
  <c r="O18" i="12"/>
  <c r="R16" i="17"/>
  <c r="N18" i="12"/>
  <c r="Q18"/>
  <c r="P17"/>
  <c r="O17" i="17"/>
  <c r="R17" i="12"/>
  <c r="M18"/>
  <c r="M17" i="17"/>
  <c r="N17"/>
  <c r="P16"/>
  <c r="R18" i="16" l="1"/>
  <c r="M19"/>
  <c r="O19"/>
  <c r="Q19"/>
  <c r="R19" s="1"/>
  <c r="N19"/>
  <c r="L20"/>
  <c r="K21"/>
  <c r="M20" i="18"/>
  <c r="N20"/>
  <c r="O20"/>
  <c r="P20" s="1"/>
  <c r="Q20"/>
  <c r="P17" i="14"/>
  <c r="P18" i="15"/>
  <c r="P18" i="10"/>
  <c r="Q18" i="14"/>
  <c r="O18"/>
  <c r="N18"/>
  <c r="N19" i="15"/>
  <c r="Q19"/>
  <c r="R19" s="1"/>
  <c r="O19"/>
  <c r="P19" s="1"/>
  <c r="M19"/>
  <c r="N19" i="13"/>
  <c r="Q19"/>
  <c r="K20" i="8"/>
  <c r="L19"/>
  <c r="K24" i="9"/>
  <c r="L23"/>
  <c r="K21" i="10"/>
  <c r="L20"/>
  <c r="L21" i="18"/>
  <c r="K22"/>
  <c r="R17" i="14"/>
  <c r="R17" i="8"/>
  <c r="R18" i="10"/>
  <c r="L19" i="14"/>
  <c r="K20"/>
  <c r="L20" i="15"/>
  <c r="K21"/>
  <c r="L20" i="13"/>
  <c r="K21"/>
  <c r="Q18" i="8"/>
  <c r="R18" s="1"/>
  <c r="S18"/>
  <c r="N18"/>
  <c r="M22" i="9"/>
  <c r="Q22"/>
  <c r="R22" s="1"/>
  <c r="O22"/>
  <c r="N22"/>
  <c r="M19" i="10"/>
  <c r="O19"/>
  <c r="Q19"/>
  <c r="N19"/>
  <c r="Q17" i="17"/>
  <c r="P17"/>
  <c r="R18" i="12"/>
  <c r="P18"/>
  <c r="Q19"/>
  <c r="R17" i="17"/>
  <c r="M19" i="12"/>
  <c r="N19"/>
  <c r="O18" i="17"/>
  <c r="O19" i="12"/>
  <c r="L21" i="16" l="1"/>
  <c r="K22"/>
  <c r="P19"/>
  <c r="M20"/>
  <c r="O20"/>
  <c r="P20" s="1"/>
  <c r="Q20"/>
  <c r="N20"/>
  <c r="P19" i="10"/>
  <c r="N20" i="13"/>
  <c r="Q20"/>
  <c r="R20" s="1"/>
  <c r="N20" i="15"/>
  <c r="Q20"/>
  <c r="O20"/>
  <c r="P20" s="1"/>
  <c r="M20"/>
  <c r="Q19" i="14"/>
  <c r="O19"/>
  <c r="N19"/>
  <c r="M21" i="18"/>
  <c r="N21"/>
  <c r="Q21"/>
  <c r="R21" s="1"/>
  <c r="O21"/>
  <c r="P21" s="1"/>
  <c r="M20" i="10"/>
  <c r="N20"/>
  <c r="O20"/>
  <c r="Q20"/>
  <c r="O23" i="9"/>
  <c r="P23" s="1"/>
  <c r="Q23"/>
  <c r="R23" s="1"/>
  <c r="N23"/>
  <c r="Q19" i="8"/>
  <c r="R19" s="1"/>
  <c r="N19"/>
  <c r="P18" i="14"/>
  <c r="S19" i="13"/>
  <c r="M18" i="14"/>
  <c r="R19" i="10"/>
  <c r="P22" i="9"/>
  <c r="L21" i="13"/>
  <c r="K22"/>
  <c r="L21" i="15"/>
  <c r="K22"/>
  <c r="L20" i="14"/>
  <c r="M19" s="1"/>
  <c r="K21"/>
  <c r="L22" i="18"/>
  <c r="K23"/>
  <c r="K22" i="10"/>
  <c r="L21"/>
  <c r="K25" i="9"/>
  <c r="L24"/>
  <c r="K21" i="8"/>
  <c r="L20"/>
  <c r="R19" i="13"/>
  <c r="R18" i="14"/>
  <c r="R20" i="18"/>
  <c r="N18" i="17"/>
  <c r="Q18"/>
  <c r="N20" i="12"/>
  <c r="N19" i="17"/>
  <c r="P18"/>
  <c r="M20" i="12"/>
  <c r="P19"/>
  <c r="O20"/>
  <c r="R18" i="17"/>
  <c r="M18"/>
  <c r="O19"/>
  <c r="Q20" i="12"/>
  <c r="R19"/>
  <c r="M19" i="17"/>
  <c r="R20" i="16" l="1"/>
  <c r="M21"/>
  <c r="O21"/>
  <c r="P21" s="1"/>
  <c r="Q21"/>
  <c r="N21"/>
  <c r="L22"/>
  <c r="K23"/>
  <c r="K22" i="8"/>
  <c r="L21"/>
  <c r="N21" i="15"/>
  <c r="Q21"/>
  <c r="R21" s="1"/>
  <c r="O21"/>
  <c r="P21" s="1"/>
  <c r="M21"/>
  <c r="N21" i="13"/>
  <c r="Q21"/>
  <c r="R21" s="1"/>
  <c r="Q20" i="8"/>
  <c r="R20" s="1"/>
  <c r="S20"/>
  <c r="N20"/>
  <c r="Q24" i="9"/>
  <c r="R24" s="1"/>
  <c r="O24"/>
  <c r="P24" s="1"/>
  <c r="N24"/>
  <c r="M21" i="10"/>
  <c r="O21"/>
  <c r="Q21"/>
  <c r="N21"/>
  <c r="K24" i="18"/>
  <c r="L23"/>
  <c r="L21" i="14"/>
  <c r="K22"/>
  <c r="L22" i="15"/>
  <c r="K23"/>
  <c r="L22" i="13"/>
  <c r="K23"/>
  <c r="P20" i="10"/>
  <c r="P19" i="14"/>
  <c r="S19" i="8"/>
  <c r="M23" i="9"/>
  <c r="K26"/>
  <c r="L25"/>
  <c r="K23" i="10"/>
  <c r="L22"/>
  <c r="M22" i="18"/>
  <c r="N22"/>
  <c r="O22"/>
  <c r="P22" s="1"/>
  <c r="Q22"/>
  <c r="R22" s="1"/>
  <c r="M20" i="14"/>
  <c r="Q20"/>
  <c r="O20"/>
  <c r="N20"/>
  <c r="R20" i="10"/>
  <c r="R19" i="14"/>
  <c r="R20" i="15"/>
  <c r="S20" i="13"/>
  <c r="Q19" i="17"/>
  <c r="Q21" i="12"/>
  <c r="R20"/>
  <c r="P20"/>
  <c r="M21"/>
  <c r="P19" i="17"/>
  <c r="N21" i="12"/>
  <c r="O21"/>
  <c r="R19" i="17"/>
  <c r="N20"/>
  <c r="M20"/>
  <c r="O20"/>
  <c r="M22" i="16" l="1"/>
  <c r="O22"/>
  <c r="Q22"/>
  <c r="R22" s="1"/>
  <c r="N22"/>
  <c r="L23"/>
  <c r="K24"/>
  <c r="R21"/>
  <c r="P20" i="14"/>
  <c r="K24" i="10"/>
  <c r="L23"/>
  <c r="K27" i="9"/>
  <c r="L26"/>
  <c r="L23" i="13"/>
  <c r="K24"/>
  <c r="L23" i="15"/>
  <c r="K24"/>
  <c r="L22" i="14"/>
  <c r="K23"/>
  <c r="M23" i="18"/>
  <c r="O23"/>
  <c r="P23" s="1"/>
  <c r="Q23"/>
  <c r="R23" s="1"/>
  <c r="N23"/>
  <c r="P21" i="10"/>
  <c r="Q21" i="8"/>
  <c r="R21" s="1"/>
  <c r="N21"/>
  <c r="R20" i="14"/>
  <c r="M22" i="10"/>
  <c r="O22"/>
  <c r="Q22"/>
  <c r="N22"/>
  <c r="M25" i="9"/>
  <c r="O25"/>
  <c r="P25" s="1"/>
  <c r="N25"/>
  <c r="Q25"/>
  <c r="R25" s="1"/>
  <c r="N22" i="13"/>
  <c r="Q22"/>
  <c r="R22" s="1"/>
  <c r="S22"/>
  <c r="N22" i="15"/>
  <c r="Q22"/>
  <c r="R22" s="1"/>
  <c r="O22"/>
  <c r="P22" s="1"/>
  <c r="M22"/>
  <c r="M21" i="14"/>
  <c r="Q21"/>
  <c r="O21"/>
  <c r="N21"/>
  <c r="L24" i="18"/>
  <c r="K25"/>
  <c r="R21" i="10"/>
  <c r="K23" i="8"/>
  <c r="L22"/>
  <c r="M24" i="9"/>
  <c r="S21" i="13"/>
  <c r="Q20" i="17"/>
  <c r="O22" i="12"/>
  <c r="N22"/>
  <c r="R20" i="17"/>
  <c r="P21" i="12"/>
  <c r="O21" i="17"/>
  <c r="M21"/>
  <c r="Q22" i="12"/>
  <c r="P20" i="17"/>
  <c r="R21" i="12"/>
  <c r="M22"/>
  <c r="N21" i="17"/>
  <c r="L24" i="16" l="1"/>
  <c r="K25"/>
  <c r="M23"/>
  <c r="Q23"/>
  <c r="R23" s="1"/>
  <c r="O23"/>
  <c r="P23" s="1"/>
  <c r="N23"/>
  <c r="P22"/>
  <c r="K24" i="8"/>
  <c r="L23"/>
  <c r="K26" i="18"/>
  <c r="L25"/>
  <c r="R21" i="14"/>
  <c r="R22" i="10"/>
  <c r="L23" i="14"/>
  <c r="K24"/>
  <c r="L24" i="15"/>
  <c r="K25"/>
  <c r="L24" i="13"/>
  <c r="K25"/>
  <c r="K28" i="9"/>
  <c r="L27"/>
  <c r="K25" i="10"/>
  <c r="L24"/>
  <c r="Q22" i="8"/>
  <c r="R22" s="1"/>
  <c r="S22"/>
  <c r="N22"/>
  <c r="M24" i="18"/>
  <c r="N24"/>
  <c r="O24"/>
  <c r="P24" s="1"/>
  <c r="Q24"/>
  <c r="R24" s="1"/>
  <c r="P21" i="14"/>
  <c r="P22" i="10"/>
  <c r="M22" i="14"/>
  <c r="Q22"/>
  <c r="O22"/>
  <c r="N22"/>
  <c r="Q23" i="15"/>
  <c r="R23" s="1"/>
  <c r="O23"/>
  <c r="P23" s="1"/>
  <c r="M23"/>
  <c r="N23"/>
  <c r="Q23" i="13"/>
  <c r="R23" s="1"/>
  <c r="N23"/>
  <c r="S23"/>
  <c r="M26" i="9"/>
  <c r="Q26"/>
  <c r="R26" s="1"/>
  <c r="O26"/>
  <c r="P26" s="1"/>
  <c r="N26"/>
  <c r="M23" i="10"/>
  <c r="O23"/>
  <c r="Q23"/>
  <c r="N23"/>
  <c r="S21" i="8"/>
  <c r="Q21" i="17"/>
  <c r="O22"/>
  <c r="M22"/>
  <c r="Q23" i="12"/>
  <c r="N23"/>
  <c r="O23"/>
  <c r="N22" i="17"/>
  <c r="R21"/>
  <c r="M23" i="12"/>
  <c r="P22"/>
  <c r="R22"/>
  <c r="P21" i="17"/>
  <c r="M24" i="16" l="1"/>
  <c r="Q24"/>
  <c r="R24" s="1"/>
  <c r="O24"/>
  <c r="P24" s="1"/>
  <c r="N24"/>
  <c r="L25"/>
  <c r="K26"/>
  <c r="R23" i="10"/>
  <c r="R22" i="14"/>
  <c r="M24" i="10"/>
  <c r="N24"/>
  <c r="O24"/>
  <c r="Q24"/>
  <c r="O27" i="9"/>
  <c r="P27" s="1"/>
  <c r="Q27"/>
  <c r="R27" s="1"/>
  <c r="N27"/>
  <c r="L25" i="13"/>
  <c r="K26"/>
  <c r="L25" i="15"/>
  <c r="K26"/>
  <c r="L24" i="14"/>
  <c r="K25"/>
  <c r="M25" i="18"/>
  <c r="N25"/>
  <c r="Q25"/>
  <c r="R25" s="1"/>
  <c r="O25"/>
  <c r="P25" s="1"/>
  <c r="Q23" i="8"/>
  <c r="R23" s="1"/>
  <c r="N23"/>
  <c r="P23" i="10"/>
  <c r="P22" i="14"/>
  <c r="K26" i="10"/>
  <c r="L25"/>
  <c r="K29" i="9"/>
  <c r="L28"/>
  <c r="Q24" i="13"/>
  <c r="R24" s="1"/>
  <c r="N24"/>
  <c r="S24"/>
  <c r="Q24" i="15"/>
  <c r="R24" s="1"/>
  <c r="O24"/>
  <c r="P24" s="1"/>
  <c r="M24"/>
  <c r="N24"/>
  <c r="Q23" i="14"/>
  <c r="O23"/>
  <c r="N23"/>
  <c r="M23"/>
  <c r="L26" i="18"/>
  <c r="K27"/>
  <c r="K25" i="8"/>
  <c r="L24"/>
  <c r="S23" s="1"/>
  <c r="Q22" i="17"/>
  <c r="O24" i="12"/>
  <c r="O23" i="17"/>
  <c r="M23"/>
  <c r="Q24" i="12"/>
  <c r="P23"/>
  <c r="R23"/>
  <c r="N24"/>
  <c r="M24"/>
  <c r="R22" i="17"/>
  <c r="P22"/>
  <c r="N23"/>
  <c r="L26" i="16" l="1"/>
  <c r="K27"/>
  <c r="M25"/>
  <c r="Q25"/>
  <c r="R25" s="1"/>
  <c r="O25"/>
  <c r="P25" s="1"/>
  <c r="N25"/>
  <c r="K26" i="8"/>
  <c r="L25"/>
  <c r="M26" i="18"/>
  <c r="N26"/>
  <c r="O26"/>
  <c r="P26" s="1"/>
  <c r="Q26"/>
  <c r="R26" s="1"/>
  <c r="R23" i="14"/>
  <c r="Q28" i="9"/>
  <c r="R28" s="1"/>
  <c r="O28"/>
  <c r="P28" s="1"/>
  <c r="N28"/>
  <c r="M25" i="10"/>
  <c r="O25"/>
  <c r="Q25"/>
  <c r="N25"/>
  <c r="Q24" i="14"/>
  <c r="O24"/>
  <c r="N24"/>
  <c r="Q25" i="15"/>
  <c r="R25" s="1"/>
  <c r="O25"/>
  <c r="P25" s="1"/>
  <c r="M25"/>
  <c r="N25"/>
  <c r="Q25" i="13"/>
  <c r="R25" s="1"/>
  <c r="N25"/>
  <c r="P24" i="10"/>
  <c r="M27" i="9"/>
  <c r="Q24" i="8"/>
  <c r="R24" s="1"/>
  <c r="S24"/>
  <c r="N24"/>
  <c r="L27" i="18"/>
  <c r="K28"/>
  <c r="P23" i="14"/>
  <c r="K30" i="9"/>
  <c r="L29"/>
  <c r="K27" i="10"/>
  <c r="L26"/>
  <c r="L25" i="14"/>
  <c r="M24" s="1"/>
  <c r="K26"/>
  <c r="L26" i="15"/>
  <c r="K27"/>
  <c r="L26" i="13"/>
  <c r="K27"/>
  <c r="R24" i="10"/>
  <c r="Q23" i="17"/>
  <c r="N24"/>
  <c r="O25" i="12"/>
  <c r="P23" i="17"/>
  <c r="R23"/>
  <c r="P24" i="12"/>
  <c r="M24" i="17"/>
  <c r="M25" i="12"/>
  <c r="R24"/>
  <c r="N25"/>
  <c r="Q25"/>
  <c r="O24" i="17"/>
  <c r="M26" i="16" l="1"/>
  <c r="Q26"/>
  <c r="R26" s="1"/>
  <c r="O26"/>
  <c r="P26" s="1"/>
  <c r="N26"/>
  <c r="L27"/>
  <c r="K28"/>
  <c r="P24" i="14"/>
  <c r="P25" i="10"/>
  <c r="K27" i="8"/>
  <c r="L26"/>
  <c r="Q26" i="13"/>
  <c r="R26" s="1"/>
  <c r="N26"/>
  <c r="Q26" i="15"/>
  <c r="R26" s="1"/>
  <c r="O26"/>
  <c r="P26" s="1"/>
  <c r="M26"/>
  <c r="N26"/>
  <c r="Q25" i="14"/>
  <c r="O25"/>
  <c r="N25"/>
  <c r="K28" i="10"/>
  <c r="L27"/>
  <c r="K31" i="9"/>
  <c r="L30"/>
  <c r="L28" i="18"/>
  <c r="K29"/>
  <c r="L27" i="13"/>
  <c r="S26" s="1"/>
  <c r="K28"/>
  <c r="L27" i="15"/>
  <c r="K28"/>
  <c r="L26" i="14"/>
  <c r="M25" s="1"/>
  <c r="K27"/>
  <c r="M26" i="10"/>
  <c r="O26"/>
  <c r="Q26"/>
  <c r="N26"/>
  <c r="Q29" i="9"/>
  <c r="R29" s="1"/>
  <c r="O29"/>
  <c r="P29" s="1"/>
  <c r="N29"/>
  <c r="M27" i="18"/>
  <c r="O27"/>
  <c r="P27" s="1"/>
  <c r="Q27"/>
  <c r="R27" s="1"/>
  <c r="N27"/>
  <c r="R24" i="14"/>
  <c r="R25" i="10"/>
  <c r="Q25" i="8"/>
  <c r="R25" s="1"/>
  <c r="N25"/>
  <c r="S25"/>
  <c r="S25" i="13"/>
  <c r="M28" i="9"/>
  <c r="Q24" i="17"/>
  <c r="M26" i="12"/>
  <c r="O26"/>
  <c r="P25"/>
  <c r="O25" i="17"/>
  <c r="Q26" i="12"/>
  <c r="R24" i="17"/>
  <c r="M25"/>
  <c r="N26" i="12"/>
  <c r="P24" i="17"/>
  <c r="N25"/>
  <c r="R25" i="12"/>
  <c r="M27" i="16" l="1"/>
  <c r="Q27"/>
  <c r="R27" s="1"/>
  <c r="O27"/>
  <c r="P27" s="1"/>
  <c r="N27"/>
  <c r="L28"/>
  <c r="K29"/>
  <c r="P26" i="10"/>
  <c r="L27" i="14"/>
  <c r="K28"/>
  <c r="L28" i="15"/>
  <c r="K29"/>
  <c r="L28" i="13"/>
  <c r="K29"/>
  <c r="K30" i="18"/>
  <c r="L29"/>
  <c r="O30" i="9"/>
  <c r="P30" s="1"/>
  <c r="N30"/>
  <c r="Q30"/>
  <c r="R30" s="1"/>
  <c r="M27" i="10"/>
  <c r="O27"/>
  <c r="Q27"/>
  <c r="N27"/>
  <c r="P25" i="14"/>
  <c r="K28" i="8"/>
  <c r="L27"/>
  <c r="R26" i="10"/>
  <c r="Q26" i="14"/>
  <c r="O26"/>
  <c r="N26"/>
  <c r="M26"/>
  <c r="Q27" i="15"/>
  <c r="R27" s="1"/>
  <c r="O27"/>
  <c r="P27" s="1"/>
  <c r="M27"/>
  <c r="N27"/>
  <c r="Q27" i="13"/>
  <c r="R27" s="1"/>
  <c r="N27"/>
  <c r="S27"/>
  <c r="M28" i="18"/>
  <c r="N28"/>
  <c r="O28"/>
  <c r="P28" s="1"/>
  <c r="Q28"/>
  <c r="R28" s="1"/>
  <c r="K32" i="9"/>
  <c r="L31"/>
  <c r="K29" i="10"/>
  <c r="L28"/>
  <c r="R25" i="14"/>
  <c r="Q26" i="8"/>
  <c r="R26" s="1"/>
  <c r="S26"/>
  <c r="N26"/>
  <c r="M29" i="9"/>
  <c r="Q25" i="17"/>
  <c r="P25"/>
  <c r="M26"/>
  <c r="O27" i="12"/>
  <c r="R25" i="17"/>
  <c r="N27" i="12"/>
  <c r="Q27"/>
  <c r="N26" i="17"/>
  <c r="P26" i="12"/>
  <c r="O26" i="17"/>
  <c r="M27" i="12"/>
  <c r="R26"/>
  <c r="M28" i="16" l="1"/>
  <c r="Q28"/>
  <c r="R28" s="1"/>
  <c r="O28"/>
  <c r="P28" s="1"/>
  <c r="N28"/>
  <c r="L29"/>
  <c r="K30"/>
  <c r="P26" i="14"/>
  <c r="K29" i="8"/>
  <c r="L28"/>
  <c r="P27" i="10"/>
  <c r="M29" i="18"/>
  <c r="N29"/>
  <c r="Q29"/>
  <c r="R29" s="1"/>
  <c r="O29"/>
  <c r="P29" s="1"/>
  <c r="L29" i="13"/>
  <c r="K30"/>
  <c r="L29" i="15"/>
  <c r="K30"/>
  <c r="L28" i="14"/>
  <c r="K29"/>
  <c r="K30" i="10"/>
  <c r="L29"/>
  <c r="K33" i="9"/>
  <c r="L32"/>
  <c r="M28" i="10"/>
  <c r="N28"/>
  <c r="O28"/>
  <c r="Q28"/>
  <c r="M31" i="9"/>
  <c r="Q31"/>
  <c r="R31" s="1"/>
  <c r="O31"/>
  <c r="P31" s="1"/>
  <c r="N31"/>
  <c r="R26" i="14"/>
  <c r="Q27" i="8"/>
  <c r="R27" s="1"/>
  <c r="N27"/>
  <c r="S27"/>
  <c r="R27" i="10"/>
  <c r="L30" i="18"/>
  <c r="K31"/>
  <c r="Q28" i="13"/>
  <c r="R28" s="1"/>
  <c r="N28"/>
  <c r="S28"/>
  <c r="Q28" i="15"/>
  <c r="R28" s="1"/>
  <c r="O28"/>
  <c r="P28" s="1"/>
  <c r="M28"/>
  <c r="N28"/>
  <c r="Q27" i="14"/>
  <c r="O27"/>
  <c r="N27"/>
  <c r="M27"/>
  <c r="M30" i="9"/>
  <c r="Q26" i="17"/>
  <c r="O27"/>
  <c r="P26"/>
  <c r="N27"/>
  <c r="O28" i="12"/>
  <c r="M28"/>
  <c r="M27" i="17"/>
  <c r="N28" i="12"/>
  <c r="R26" i="17"/>
  <c r="P27" i="12"/>
  <c r="R27"/>
  <c r="Q28"/>
  <c r="M29" i="16" l="1"/>
  <c r="Q29"/>
  <c r="R29" s="1"/>
  <c r="O29"/>
  <c r="P29" s="1"/>
  <c r="N29"/>
  <c r="L30"/>
  <c r="K31"/>
  <c r="P27" i="14"/>
  <c r="R27"/>
  <c r="K32" i="18"/>
  <c r="L31"/>
  <c r="P28" i="10"/>
  <c r="K34" i="9"/>
  <c r="L33"/>
  <c r="K31" i="10"/>
  <c r="L30"/>
  <c r="Q28" i="14"/>
  <c r="O28"/>
  <c r="N28"/>
  <c r="Q29" i="15"/>
  <c r="R29" s="1"/>
  <c r="O29"/>
  <c r="P29" s="1"/>
  <c r="M29"/>
  <c r="N29"/>
  <c r="Q29" i="13"/>
  <c r="R29" s="1"/>
  <c r="N29"/>
  <c r="Q28" i="8"/>
  <c r="R28" s="1"/>
  <c r="N28"/>
  <c r="M30" i="18"/>
  <c r="N30"/>
  <c r="O30"/>
  <c r="P30" s="1"/>
  <c r="Q30"/>
  <c r="R30" s="1"/>
  <c r="R28" i="10"/>
  <c r="M32" i="9"/>
  <c r="Q32"/>
  <c r="R32" s="1"/>
  <c r="N32"/>
  <c r="O32"/>
  <c r="P32" s="1"/>
  <c r="M29" i="10"/>
  <c r="O29"/>
  <c r="Q29"/>
  <c r="N29"/>
  <c r="L29" i="14"/>
  <c r="M28" s="1"/>
  <c r="K30"/>
  <c r="L30" i="15"/>
  <c r="K31"/>
  <c r="L30" i="13"/>
  <c r="K31"/>
  <c r="K30" i="8"/>
  <c r="L29"/>
  <c r="Q27" i="17"/>
  <c r="M28"/>
  <c r="Q29" i="12"/>
  <c r="R27" i="17"/>
  <c r="O28"/>
  <c r="M29" i="12"/>
  <c r="O29"/>
  <c r="N29"/>
  <c r="P28"/>
  <c r="R28"/>
  <c r="P27" i="17"/>
  <c r="N28"/>
  <c r="M30" i="16" l="1"/>
  <c r="Q30"/>
  <c r="R30" s="1"/>
  <c r="O30"/>
  <c r="P30" s="1"/>
  <c r="N30"/>
  <c r="L31"/>
  <c r="K32"/>
  <c r="R29" i="10"/>
  <c r="P28" i="14"/>
  <c r="M30" i="10"/>
  <c r="O30"/>
  <c r="Q30"/>
  <c r="N30"/>
  <c r="Q33" i="9"/>
  <c r="R33" s="1"/>
  <c r="O33"/>
  <c r="P33" s="1"/>
  <c r="N33"/>
  <c r="L32" i="18"/>
  <c r="K33"/>
  <c r="K31" i="8"/>
  <c r="L30"/>
  <c r="Q30" i="13"/>
  <c r="R30" s="1"/>
  <c r="N30"/>
  <c r="Q30" i="15"/>
  <c r="R30" s="1"/>
  <c r="O30"/>
  <c r="P30" s="1"/>
  <c r="M30"/>
  <c r="N30"/>
  <c r="Q29" i="14"/>
  <c r="O29"/>
  <c r="N29"/>
  <c r="Q29" i="8"/>
  <c r="R29" s="1"/>
  <c r="N29"/>
  <c r="S29"/>
  <c r="L31" i="13"/>
  <c r="K32"/>
  <c r="L31" i="15"/>
  <c r="K32"/>
  <c r="L30" i="14"/>
  <c r="K31"/>
  <c r="P29" i="10"/>
  <c r="R28" i="14"/>
  <c r="K32" i="10"/>
  <c r="L31"/>
  <c r="K35" i="9"/>
  <c r="L34"/>
  <c r="M33" s="1"/>
  <c r="M31" i="18"/>
  <c r="O31"/>
  <c r="P31" s="1"/>
  <c r="Q31"/>
  <c r="R31" s="1"/>
  <c r="N31"/>
  <c r="S28" i="8"/>
  <c r="S29" i="13"/>
  <c r="Q28" i="17"/>
  <c r="O30" i="12"/>
  <c r="R29"/>
  <c r="R28" i="17"/>
  <c r="O29"/>
  <c r="P29" i="12"/>
  <c r="M30"/>
  <c r="P28" i="17"/>
  <c r="Q30" i="12"/>
  <c r="N30"/>
  <c r="M31" i="16" l="1"/>
  <c r="O31"/>
  <c r="P31" s="1"/>
  <c r="Q31"/>
  <c r="R31" s="1"/>
  <c r="N31"/>
  <c r="L32"/>
  <c r="K33"/>
  <c r="K36" i="9"/>
  <c r="L35"/>
  <c r="K33" i="10"/>
  <c r="L32"/>
  <c r="Q30" i="14"/>
  <c r="O30"/>
  <c r="N30"/>
  <c r="Q31" i="15"/>
  <c r="R31" s="1"/>
  <c r="O31"/>
  <c r="P31" s="1"/>
  <c r="M31"/>
  <c r="N31"/>
  <c r="Q31" i="13"/>
  <c r="R31" s="1"/>
  <c r="N31"/>
  <c r="P29" i="14"/>
  <c r="K32" i="8"/>
  <c r="L31"/>
  <c r="M32" i="18"/>
  <c r="N32"/>
  <c r="O32"/>
  <c r="P32" s="1"/>
  <c r="Q32"/>
  <c r="R32" s="1"/>
  <c r="R30" i="10"/>
  <c r="M29" i="14"/>
  <c r="S30" i="13"/>
  <c r="M34" i="9"/>
  <c r="O34"/>
  <c r="P34" s="1"/>
  <c r="N34"/>
  <c r="Q34"/>
  <c r="R34" s="1"/>
  <c r="M31" i="10"/>
  <c r="O31"/>
  <c r="Q31"/>
  <c r="N31"/>
  <c r="L31" i="14"/>
  <c r="K32"/>
  <c r="L32" i="15"/>
  <c r="K33"/>
  <c r="L32" i="13"/>
  <c r="S31" s="1"/>
  <c r="K33"/>
  <c r="R29" i="14"/>
  <c r="Q30" i="8"/>
  <c r="R30" s="1"/>
  <c r="S30"/>
  <c r="N30"/>
  <c r="K34" i="18"/>
  <c r="L33"/>
  <c r="P30" i="10"/>
  <c r="Q29" i="17"/>
  <c r="N29"/>
  <c r="M29"/>
  <c r="N31" i="12"/>
  <c r="P30"/>
  <c r="O30" i="17"/>
  <c r="O31" i="12"/>
  <c r="R30"/>
  <c r="Q31"/>
  <c r="R29" i="17"/>
  <c r="P29"/>
  <c r="M31" i="12"/>
  <c r="M32" i="16" l="1"/>
  <c r="Q32"/>
  <c r="R32" s="1"/>
  <c r="O32"/>
  <c r="P32" s="1"/>
  <c r="N32"/>
  <c r="L33"/>
  <c r="K34"/>
  <c r="L33" i="13"/>
  <c r="K34"/>
  <c r="L32" i="14"/>
  <c r="K33"/>
  <c r="P31" i="10"/>
  <c r="K33" i="8"/>
  <c r="L32"/>
  <c r="R30" i="14"/>
  <c r="K34" i="10"/>
  <c r="L33"/>
  <c r="K37" i="9"/>
  <c r="L36"/>
  <c r="M33" i="18"/>
  <c r="N33"/>
  <c r="Q33"/>
  <c r="R33" s="1"/>
  <c r="O33"/>
  <c r="P33" s="1"/>
  <c r="L33" i="15"/>
  <c r="K34"/>
  <c r="L34" i="18"/>
  <c r="K35"/>
  <c r="N32" i="13"/>
  <c r="Q32"/>
  <c r="R32" s="1"/>
  <c r="S32"/>
  <c r="N32" i="15"/>
  <c r="Q32"/>
  <c r="R32" s="1"/>
  <c r="O32"/>
  <c r="P32" s="1"/>
  <c r="M32"/>
  <c r="Q31" i="14"/>
  <c r="O31"/>
  <c r="N31"/>
  <c r="M31"/>
  <c r="R31" i="10"/>
  <c r="Q31" i="8"/>
  <c r="R31" s="1"/>
  <c r="N31"/>
  <c r="S31"/>
  <c r="P30" i="14"/>
  <c r="N32" i="10"/>
  <c r="M32"/>
  <c r="O32"/>
  <c r="Q32"/>
  <c r="M35" i="9"/>
  <c r="Q35"/>
  <c r="R35" s="1"/>
  <c r="O35"/>
  <c r="P35" s="1"/>
  <c r="N35"/>
  <c r="M30" i="14"/>
  <c r="Q30" i="17"/>
  <c r="N30"/>
  <c r="N31"/>
  <c r="M30"/>
  <c r="Q32" i="12"/>
  <c r="R31"/>
  <c r="O31" i="17"/>
  <c r="N32" i="12"/>
  <c r="M31" i="17"/>
  <c r="O32" i="12"/>
  <c r="P30" i="17"/>
  <c r="P31" i="12"/>
  <c r="R30" i="17"/>
  <c r="M32" i="12"/>
  <c r="M33" i="16" l="1"/>
  <c r="Q33"/>
  <c r="R33" s="1"/>
  <c r="O33"/>
  <c r="P33" s="1"/>
  <c r="N33"/>
  <c r="L34"/>
  <c r="K35"/>
  <c r="P31" i="14"/>
  <c r="M34" i="18"/>
  <c r="N34"/>
  <c r="O34"/>
  <c r="P34" s="1"/>
  <c r="Q34"/>
  <c r="R34" s="1"/>
  <c r="N33" i="15"/>
  <c r="Q33"/>
  <c r="R33" s="1"/>
  <c r="O33"/>
  <c r="P33" s="1"/>
  <c r="M33"/>
  <c r="K38" i="9"/>
  <c r="L37"/>
  <c r="K35" i="10"/>
  <c r="L34"/>
  <c r="Q32" i="8"/>
  <c r="R32" s="1"/>
  <c r="N32"/>
  <c r="Q32" i="14"/>
  <c r="O32"/>
  <c r="N32"/>
  <c r="N33" i="13"/>
  <c r="Q33"/>
  <c r="R33" s="1"/>
  <c r="P32" i="10"/>
  <c r="R32"/>
  <c r="R31" i="14"/>
  <c r="K36" i="18"/>
  <c r="L35"/>
  <c r="L34" i="15"/>
  <c r="K35"/>
  <c r="M36" i="9"/>
  <c r="Q36"/>
  <c r="R36" s="1"/>
  <c r="N36"/>
  <c r="O36"/>
  <c r="P36" s="1"/>
  <c r="M33" i="10"/>
  <c r="O33"/>
  <c r="Q33"/>
  <c r="N33"/>
  <c r="K34" i="8"/>
  <c r="L33"/>
  <c r="L33" i="14"/>
  <c r="K34"/>
  <c r="L34" i="13"/>
  <c r="K35"/>
  <c r="Q31" i="17"/>
  <c r="R31"/>
  <c r="P31"/>
  <c r="N33" i="12"/>
  <c r="O33"/>
  <c r="O32" i="17"/>
  <c r="M33" i="12"/>
  <c r="R32"/>
  <c r="P32"/>
  <c r="Q33"/>
  <c r="M34" i="16" l="1"/>
  <c r="Q34"/>
  <c r="R34" s="1"/>
  <c r="O34"/>
  <c r="P34" s="1"/>
  <c r="N34"/>
  <c r="L35"/>
  <c r="K36"/>
  <c r="L35" i="13"/>
  <c r="K36"/>
  <c r="L34" i="14"/>
  <c r="K35"/>
  <c r="Q33" i="8"/>
  <c r="R33" s="1"/>
  <c r="N33"/>
  <c r="N34" i="13"/>
  <c r="Q34"/>
  <c r="R34" s="1"/>
  <c r="S34"/>
  <c r="M33" i="14"/>
  <c r="Q33"/>
  <c r="O33"/>
  <c r="N33"/>
  <c r="K35" i="8"/>
  <c r="L34"/>
  <c r="S33" s="1"/>
  <c r="R33" i="10"/>
  <c r="N34" i="15"/>
  <c r="Q34"/>
  <c r="R34" s="1"/>
  <c r="O34"/>
  <c r="P34" s="1"/>
  <c r="M34"/>
  <c r="L36" i="18"/>
  <c r="K37"/>
  <c r="P32" i="14"/>
  <c r="N34" i="10"/>
  <c r="M34"/>
  <c r="Q34"/>
  <c r="O34"/>
  <c r="Q37" i="9"/>
  <c r="R37" s="1"/>
  <c r="O37"/>
  <c r="P37" s="1"/>
  <c r="N37"/>
  <c r="S33" i="13"/>
  <c r="M32" i="14"/>
  <c r="S32" i="8"/>
  <c r="P33" i="10"/>
  <c r="L35" i="15"/>
  <c r="K36"/>
  <c r="M35" i="18"/>
  <c r="O35"/>
  <c r="P35" s="1"/>
  <c r="Q35"/>
  <c r="R35" s="1"/>
  <c r="N35"/>
  <c r="R32" i="14"/>
  <c r="K36" i="10"/>
  <c r="L35"/>
  <c r="K39" i="9"/>
  <c r="L38"/>
  <c r="N32" i="17"/>
  <c r="Q32"/>
  <c r="P33" i="12"/>
  <c r="O34"/>
  <c r="M32" i="17"/>
  <c r="M33"/>
  <c r="M34" i="12"/>
  <c r="N33" i="17"/>
  <c r="R33" i="12"/>
  <c r="P32" i="17"/>
  <c r="O33"/>
  <c r="N34" i="12"/>
  <c r="Q34"/>
  <c r="R32" i="17"/>
  <c r="M35" i="16" l="1"/>
  <c r="Q35"/>
  <c r="R35" s="1"/>
  <c r="O35"/>
  <c r="P35" s="1"/>
  <c r="N35"/>
  <c r="L36"/>
  <c r="K37"/>
  <c r="O38" i="9"/>
  <c r="P38" s="1"/>
  <c r="N38"/>
  <c r="Q38"/>
  <c r="R38" s="1"/>
  <c r="N35" i="15"/>
  <c r="Q35"/>
  <c r="R35" s="1"/>
  <c r="O35"/>
  <c r="P35" s="1"/>
  <c r="M35"/>
  <c r="R34" i="10"/>
  <c r="L37" i="18"/>
  <c r="K38"/>
  <c r="K36" i="8"/>
  <c r="L35"/>
  <c r="P33" i="14"/>
  <c r="Q34"/>
  <c r="O34"/>
  <c r="N34"/>
  <c r="N35" i="13"/>
  <c r="Q35"/>
  <c r="R35" s="1"/>
  <c r="M37" i="9"/>
  <c r="M35" i="10"/>
  <c r="O35"/>
  <c r="Q35"/>
  <c r="N35"/>
  <c r="K40" i="9"/>
  <c r="L39"/>
  <c r="M38" s="1"/>
  <c r="K37" i="10"/>
  <c r="L36"/>
  <c r="L36" i="15"/>
  <c r="K37"/>
  <c r="P34" i="10"/>
  <c r="M36" i="18"/>
  <c r="N36"/>
  <c r="O36"/>
  <c r="P36" s="1"/>
  <c r="Q36"/>
  <c r="R36" s="1"/>
  <c r="Q34" i="8"/>
  <c r="R34" s="1"/>
  <c r="S34"/>
  <c r="N34"/>
  <c r="R33" i="14"/>
  <c r="L35"/>
  <c r="M34" s="1"/>
  <c r="K36"/>
  <c r="L36" i="13"/>
  <c r="S35" s="1"/>
  <c r="K37"/>
  <c r="Q33" i="17"/>
  <c r="N34"/>
  <c r="Q35" i="12"/>
  <c r="N35"/>
  <c r="R34"/>
  <c r="M34" i="17"/>
  <c r="P33"/>
  <c r="O34"/>
  <c r="O35" i="12"/>
  <c r="R33" i="17"/>
  <c r="M35" i="12"/>
  <c r="P34"/>
  <c r="M36" i="16" l="1"/>
  <c r="Q36"/>
  <c r="R36" s="1"/>
  <c r="O36"/>
  <c r="P36" s="1"/>
  <c r="N36"/>
  <c r="L37"/>
  <c r="K38"/>
  <c r="N36" i="15"/>
  <c r="Q36"/>
  <c r="R36" s="1"/>
  <c r="O36"/>
  <c r="P36" s="1"/>
  <c r="M36"/>
  <c r="K38" i="10"/>
  <c r="L37"/>
  <c r="K41" i="9"/>
  <c r="L40"/>
  <c r="R35" i="10"/>
  <c r="P34" i="14"/>
  <c r="Q35" i="8"/>
  <c r="R35" s="1"/>
  <c r="N35"/>
  <c r="L38" i="18"/>
  <c r="K39"/>
  <c r="L37" i="13"/>
  <c r="K38"/>
  <c r="L36" i="14"/>
  <c r="M35" s="1"/>
  <c r="K37"/>
  <c r="N36" i="13"/>
  <c r="Q36"/>
  <c r="R36" s="1"/>
  <c r="S36"/>
  <c r="Q35" i="14"/>
  <c r="O35"/>
  <c r="N35"/>
  <c r="L37" i="15"/>
  <c r="K38"/>
  <c r="N36" i="10"/>
  <c r="M36"/>
  <c r="O36"/>
  <c r="Q36"/>
  <c r="M39" i="9"/>
  <c r="Q39"/>
  <c r="R39" s="1"/>
  <c r="O39"/>
  <c r="P39" s="1"/>
  <c r="N39"/>
  <c r="P35" i="10"/>
  <c r="R34" i="14"/>
  <c r="K37" i="8"/>
  <c r="L36"/>
  <c r="S35" s="1"/>
  <c r="M37" i="18"/>
  <c r="N37"/>
  <c r="Q37"/>
  <c r="R37" s="1"/>
  <c r="O37"/>
  <c r="P37" s="1"/>
  <c r="Q34" i="17"/>
  <c r="N35"/>
  <c r="O35"/>
  <c r="N36" i="12"/>
  <c r="P35"/>
  <c r="O36"/>
  <c r="R34" i="17"/>
  <c r="P34"/>
  <c r="M36" i="12"/>
  <c r="Q36"/>
  <c r="R35"/>
  <c r="M35" i="17"/>
  <c r="M37" i="16" l="1"/>
  <c r="O37"/>
  <c r="P37" s="1"/>
  <c r="Q37"/>
  <c r="R37" s="1"/>
  <c r="N37"/>
  <c r="L38"/>
  <c r="K39"/>
  <c r="K38" i="8"/>
  <c r="L37"/>
  <c r="P36" i="10"/>
  <c r="Q37" i="15"/>
  <c r="R37" s="1"/>
  <c r="N37"/>
  <c r="O37"/>
  <c r="P37" s="1"/>
  <c r="M37"/>
  <c r="P35" i="14"/>
  <c r="L37"/>
  <c r="K38"/>
  <c r="L38" i="13"/>
  <c r="S37" s="1"/>
  <c r="K39"/>
  <c r="K40" i="18"/>
  <c r="L39"/>
  <c r="K42" i="9"/>
  <c r="L41"/>
  <c r="K39" i="10"/>
  <c r="L38"/>
  <c r="Q36" i="8"/>
  <c r="R36" s="1"/>
  <c r="S36"/>
  <c r="N36"/>
  <c r="R36" i="10"/>
  <c r="L38" i="15"/>
  <c r="K39"/>
  <c r="R35" i="14"/>
  <c r="M36"/>
  <c r="N36"/>
  <c r="Q36"/>
  <c r="O36"/>
  <c r="N37" i="13"/>
  <c r="Q37"/>
  <c r="R37" s="1"/>
  <c r="M38" i="18"/>
  <c r="N38"/>
  <c r="O38"/>
  <c r="P38" s="1"/>
  <c r="Q38"/>
  <c r="R38" s="1"/>
  <c r="M40" i="9"/>
  <c r="Q40"/>
  <c r="R40" s="1"/>
  <c r="N40"/>
  <c r="O40"/>
  <c r="P40" s="1"/>
  <c r="M37" i="10"/>
  <c r="O37"/>
  <c r="Q37"/>
  <c r="N37"/>
  <c r="Q35" i="17"/>
  <c r="M36"/>
  <c r="R35"/>
  <c r="O36"/>
  <c r="O37" i="12"/>
  <c r="P36"/>
  <c r="Q37"/>
  <c r="M37"/>
  <c r="R36"/>
  <c r="P35" i="17"/>
  <c r="N36"/>
  <c r="N37" i="12"/>
  <c r="M38" i="16" l="1"/>
  <c r="O38"/>
  <c r="P38" s="1"/>
  <c r="Q38"/>
  <c r="R38" s="1"/>
  <c r="N38"/>
  <c r="L39"/>
  <c r="K40"/>
  <c r="R37" i="10"/>
  <c r="P36" i="14"/>
  <c r="Q38" i="15"/>
  <c r="R38" s="1"/>
  <c r="N38"/>
  <c r="O38"/>
  <c r="P38" s="1"/>
  <c r="M38"/>
  <c r="K40" i="10"/>
  <c r="L39"/>
  <c r="K43" i="9"/>
  <c r="L42"/>
  <c r="L40" i="18"/>
  <c r="K41"/>
  <c r="N38" i="13"/>
  <c r="Q38"/>
  <c r="R38" s="1"/>
  <c r="Q37" i="14"/>
  <c r="O37"/>
  <c r="N37"/>
  <c r="K39" i="8"/>
  <c r="L38"/>
  <c r="P37" i="10"/>
  <c r="R36" i="14"/>
  <c r="L39" i="15"/>
  <c r="K40"/>
  <c r="N38" i="10"/>
  <c r="M38"/>
  <c r="Q38"/>
  <c r="O38"/>
  <c r="M41" i="9"/>
  <c r="Q41"/>
  <c r="R41" s="1"/>
  <c r="O41"/>
  <c r="P41" s="1"/>
  <c r="N41"/>
  <c r="M39" i="18"/>
  <c r="N39"/>
  <c r="O39"/>
  <c r="P39" s="1"/>
  <c r="Q39"/>
  <c r="R39" s="1"/>
  <c r="L39" i="13"/>
  <c r="S38" s="1"/>
  <c r="K40"/>
  <c r="L38" i="14"/>
  <c r="K39"/>
  <c r="Q37" i="8"/>
  <c r="R37" s="1"/>
  <c r="N37"/>
  <c r="S37"/>
  <c r="Q36" i="17"/>
  <c r="P37" i="12"/>
  <c r="R37"/>
  <c r="P36" i="17"/>
  <c r="O37"/>
  <c r="M38" i="12"/>
  <c r="Q38"/>
  <c r="R36" i="17"/>
  <c r="N38" i="12"/>
  <c r="O38"/>
  <c r="M39" i="16" l="1"/>
  <c r="Q39"/>
  <c r="R39" s="1"/>
  <c r="O39"/>
  <c r="P39" s="1"/>
  <c r="N39"/>
  <c r="L40"/>
  <c r="K41"/>
  <c r="P38" i="10"/>
  <c r="L40" i="15"/>
  <c r="K41"/>
  <c r="Q38" i="8"/>
  <c r="R38" s="1"/>
  <c r="N38"/>
  <c r="R37" i="14"/>
  <c r="M40" i="18"/>
  <c r="N40"/>
  <c r="O40"/>
  <c r="P40" s="1"/>
  <c r="Q40"/>
  <c r="R40" s="1"/>
  <c r="K44" i="9"/>
  <c r="L43"/>
  <c r="K41" i="10"/>
  <c r="L40"/>
  <c r="L39" i="14"/>
  <c r="K40"/>
  <c r="L40" i="13"/>
  <c r="K41"/>
  <c r="M38" i="14"/>
  <c r="Q38"/>
  <c r="O38"/>
  <c r="N38"/>
  <c r="N39" i="13"/>
  <c r="Q39"/>
  <c r="R39" s="1"/>
  <c r="S39"/>
  <c r="R38" i="10"/>
  <c r="Q39" i="15"/>
  <c r="R39" s="1"/>
  <c r="N39"/>
  <c r="O39"/>
  <c r="P39" s="1"/>
  <c r="M39"/>
  <c r="K40" i="8"/>
  <c r="L39"/>
  <c r="P37" i="14"/>
  <c r="K42" i="18"/>
  <c r="L41"/>
  <c r="M42" i="9"/>
  <c r="O42"/>
  <c r="P42" s="1"/>
  <c r="N42"/>
  <c r="Q42"/>
  <c r="R42" s="1"/>
  <c r="M39" i="10"/>
  <c r="O39"/>
  <c r="Q39"/>
  <c r="N39"/>
  <c r="M37" i="14"/>
  <c r="N37" i="17"/>
  <c r="Q37"/>
  <c r="M38"/>
  <c r="O38"/>
  <c r="P38" i="12"/>
  <c r="O39"/>
  <c r="N39"/>
  <c r="R38"/>
  <c r="Q39"/>
  <c r="M39"/>
  <c r="N38" i="17"/>
  <c r="R37"/>
  <c r="P37"/>
  <c r="M37"/>
  <c r="M40" i="16" l="1"/>
  <c r="O40"/>
  <c r="P40" s="1"/>
  <c r="Q40"/>
  <c r="R40" s="1"/>
  <c r="N40"/>
  <c r="L41"/>
  <c r="K42"/>
  <c r="L42" i="18"/>
  <c r="K43"/>
  <c r="Q39" i="8"/>
  <c r="R39" s="1"/>
  <c r="N39"/>
  <c r="R38" i="14"/>
  <c r="L41" i="13"/>
  <c r="K42"/>
  <c r="L40" i="14"/>
  <c r="K41"/>
  <c r="N40" i="10"/>
  <c r="M40"/>
  <c r="O40"/>
  <c r="Q40"/>
  <c r="Q43" i="9"/>
  <c r="R43" s="1"/>
  <c r="O43"/>
  <c r="P43" s="1"/>
  <c r="N43"/>
  <c r="L41" i="15"/>
  <c r="K42"/>
  <c r="S38" i="8"/>
  <c r="R39" i="10"/>
  <c r="P39"/>
  <c r="M41" i="18"/>
  <c r="Q41"/>
  <c r="R41" s="1"/>
  <c r="N41"/>
  <c r="O41"/>
  <c r="P41" s="1"/>
  <c r="K41" i="8"/>
  <c r="L40"/>
  <c r="P38" i="14"/>
  <c r="N40" i="13"/>
  <c r="Q40"/>
  <c r="R40" s="1"/>
  <c r="S40"/>
  <c r="M39" i="14"/>
  <c r="Q39"/>
  <c r="O39"/>
  <c r="N39"/>
  <c r="K42" i="10"/>
  <c r="L41"/>
  <c r="K45" i="9"/>
  <c r="L44"/>
  <c r="Q40" i="15"/>
  <c r="R40" s="1"/>
  <c r="N40"/>
  <c r="O40"/>
  <c r="P40" s="1"/>
  <c r="M40"/>
  <c r="Q38" i="17"/>
  <c r="Q40" i="12"/>
  <c r="R39"/>
  <c r="O40"/>
  <c r="P38" i="17"/>
  <c r="R38"/>
  <c r="M39"/>
  <c r="N40" i="12"/>
  <c r="M40"/>
  <c r="N39" i="17"/>
  <c r="P39" i="12"/>
  <c r="O39" i="17"/>
  <c r="M41" i="16" l="1"/>
  <c r="O41"/>
  <c r="P41" s="1"/>
  <c r="Q41"/>
  <c r="R41" s="1"/>
  <c r="N41"/>
  <c r="L42"/>
  <c r="K43"/>
  <c r="Q44" i="9"/>
  <c r="R44" s="1"/>
  <c r="N44"/>
  <c r="O44"/>
  <c r="P44" s="1"/>
  <c r="M41" i="10"/>
  <c r="O41"/>
  <c r="Q41"/>
  <c r="N41"/>
  <c r="R39" i="14"/>
  <c r="Q40" i="8"/>
  <c r="R40" s="1"/>
  <c r="N40"/>
  <c r="Q41" i="15"/>
  <c r="R41" s="1"/>
  <c r="N41"/>
  <c r="O41"/>
  <c r="P41" s="1"/>
  <c r="M41"/>
  <c r="P40" i="10"/>
  <c r="Q40" i="14"/>
  <c r="O40"/>
  <c r="N40"/>
  <c r="N41" i="13"/>
  <c r="Q41"/>
  <c r="R41" s="1"/>
  <c r="M42" i="18"/>
  <c r="N42"/>
  <c r="O42"/>
  <c r="P42" s="1"/>
  <c r="Q42"/>
  <c r="R42" s="1"/>
  <c r="M43" i="9"/>
  <c r="K46"/>
  <c r="L45"/>
  <c r="K43" i="10"/>
  <c r="L42"/>
  <c r="P39" i="14"/>
  <c r="K42" i="8"/>
  <c r="L41"/>
  <c r="L42" i="15"/>
  <c r="K43"/>
  <c r="R40" i="10"/>
  <c r="L41" i="14"/>
  <c r="K42"/>
  <c r="L42" i="13"/>
  <c r="K43"/>
  <c r="K44" i="18"/>
  <c r="L43"/>
  <c r="S39" i="8"/>
  <c r="Q39" i="17"/>
  <c r="P39"/>
  <c r="P40" i="12"/>
  <c r="O40" i="17"/>
  <c r="R39"/>
  <c r="N41" i="12"/>
  <c r="M41"/>
  <c r="R40"/>
  <c r="O41"/>
  <c r="Q41"/>
  <c r="M42" i="16" l="1"/>
  <c r="O42"/>
  <c r="P42" s="1"/>
  <c r="Q42"/>
  <c r="R42" s="1"/>
  <c r="N42"/>
  <c r="L43"/>
  <c r="K44"/>
  <c r="N42" i="13"/>
  <c r="Q42"/>
  <c r="R42" s="1"/>
  <c r="Q41" i="14"/>
  <c r="O41"/>
  <c r="N41"/>
  <c r="Q41" i="8"/>
  <c r="R41" s="1"/>
  <c r="N41"/>
  <c r="M43" i="18"/>
  <c r="N43"/>
  <c r="O43"/>
  <c r="P43" s="1"/>
  <c r="Q43"/>
  <c r="R43" s="1"/>
  <c r="L43" i="13"/>
  <c r="K44"/>
  <c r="L42" i="14"/>
  <c r="K43"/>
  <c r="Q42" i="15"/>
  <c r="R42" s="1"/>
  <c r="N42"/>
  <c r="O42"/>
  <c r="P42" s="1"/>
  <c r="M42"/>
  <c r="K43" i="8"/>
  <c r="L42"/>
  <c r="S41" s="1"/>
  <c r="N42" i="10"/>
  <c r="M42"/>
  <c r="Q42"/>
  <c r="O42"/>
  <c r="Q45" i="9"/>
  <c r="R45" s="1"/>
  <c r="O45"/>
  <c r="P45" s="1"/>
  <c r="N45"/>
  <c r="R40" i="14"/>
  <c r="R41" i="10"/>
  <c r="S40" i="8"/>
  <c r="M44" i="9"/>
  <c r="L44" i="18"/>
  <c r="K45"/>
  <c r="L43" i="15"/>
  <c r="K44"/>
  <c r="K44" i="10"/>
  <c r="L43"/>
  <c r="K47" i="9"/>
  <c r="L46"/>
  <c r="M45" s="1"/>
  <c r="P40" i="14"/>
  <c r="P41" i="10"/>
  <c r="S41" i="13"/>
  <c r="M40" i="14"/>
  <c r="N40" i="17"/>
  <c r="Q40"/>
  <c r="R41" i="12"/>
  <c r="Q42"/>
  <c r="P40" i="17"/>
  <c r="O41"/>
  <c r="O42" i="12"/>
  <c r="M40" i="17"/>
  <c r="N42" i="12"/>
  <c r="M42"/>
  <c r="R40" i="17"/>
  <c r="P41" i="12"/>
  <c r="M43" i="16" l="1"/>
  <c r="Q43"/>
  <c r="R43" s="1"/>
  <c r="O43"/>
  <c r="P43" s="1"/>
  <c r="N43"/>
  <c r="L44"/>
  <c r="K45"/>
  <c r="K48" i="9"/>
  <c r="L47"/>
  <c r="K45" i="10"/>
  <c r="L44"/>
  <c r="Q43" i="15"/>
  <c r="R43" s="1"/>
  <c r="N43"/>
  <c r="O43"/>
  <c r="P43" s="1"/>
  <c r="M43"/>
  <c r="M44" i="18"/>
  <c r="N44"/>
  <c r="O44"/>
  <c r="P44" s="1"/>
  <c r="Q44"/>
  <c r="R44" s="1"/>
  <c r="R42" i="10"/>
  <c r="K44" i="8"/>
  <c r="L43"/>
  <c r="Q42" i="14"/>
  <c r="O42"/>
  <c r="N42"/>
  <c r="N43" i="13"/>
  <c r="Q43"/>
  <c r="R43" s="1"/>
  <c r="R41" i="14"/>
  <c r="S42" i="13"/>
  <c r="M46" i="9"/>
  <c r="O46"/>
  <c r="P46" s="1"/>
  <c r="N46"/>
  <c r="Q46"/>
  <c r="R46" s="1"/>
  <c r="M43" i="10"/>
  <c r="O43"/>
  <c r="Q43"/>
  <c r="N43"/>
  <c r="L44" i="15"/>
  <c r="K45"/>
  <c r="K46" i="18"/>
  <c r="L45"/>
  <c r="P42" i="10"/>
  <c r="Q42" i="8"/>
  <c r="R42" s="1"/>
  <c r="S42"/>
  <c r="N42"/>
  <c r="L43" i="14"/>
  <c r="K44"/>
  <c r="L44" i="13"/>
  <c r="K45"/>
  <c r="P41" i="14"/>
  <c r="M41"/>
  <c r="Q41" i="17"/>
  <c r="N41"/>
  <c r="O42"/>
  <c r="R42" i="12"/>
  <c r="O43"/>
  <c r="P42"/>
  <c r="M41" i="17"/>
  <c r="P41"/>
  <c r="R41"/>
  <c r="Q43" i="12"/>
  <c r="M43"/>
  <c r="N43"/>
  <c r="M44" i="16" l="1"/>
  <c r="O44"/>
  <c r="P44" s="1"/>
  <c r="Q44"/>
  <c r="R44" s="1"/>
  <c r="N44"/>
  <c r="L45"/>
  <c r="K46"/>
  <c r="N44" i="13"/>
  <c r="Q44"/>
  <c r="R44" s="1"/>
  <c r="Q43" i="14"/>
  <c r="O43"/>
  <c r="N43"/>
  <c r="L46" i="18"/>
  <c r="K47"/>
  <c r="Q44" i="15"/>
  <c r="R44" s="1"/>
  <c r="N44"/>
  <c r="O44"/>
  <c r="P44" s="1"/>
  <c r="M44"/>
  <c r="R43" i="10"/>
  <c r="R42" i="14"/>
  <c r="Q43" i="8"/>
  <c r="R43" s="1"/>
  <c r="N43"/>
  <c r="K46" i="10"/>
  <c r="L45"/>
  <c r="K49" i="9"/>
  <c r="L48"/>
  <c r="L45" i="13"/>
  <c r="K46"/>
  <c r="L44" i="14"/>
  <c r="K45"/>
  <c r="M45" i="18"/>
  <c r="Q45"/>
  <c r="R45" s="1"/>
  <c r="N45"/>
  <c r="O45"/>
  <c r="P45" s="1"/>
  <c r="L45" i="15"/>
  <c r="K46"/>
  <c r="P43" i="10"/>
  <c r="P42" i="14"/>
  <c r="K45" i="8"/>
  <c r="L44"/>
  <c r="S43" s="1"/>
  <c r="N44" i="10"/>
  <c r="M44"/>
  <c r="O44"/>
  <c r="Q44"/>
  <c r="M47" i="9"/>
  <c r="Q47"/>
  <c r="R47" s="1"/>
  <c r="O47"/>
  <c r="P47" s="1"/>
  <c r="N47"/>
  <c r="S43" i="13"/>
  <c r="M42" i="14"/>
  <c r="N42" i="17"/>
  <c r="Q42"/>
  <c r="O43"/>
  <c r="M44" i="12"/>
  <c r="M42" i="17"/>
  <c r="N44" i="12"/>
  <c r="R43"/>
  <c r="P43"/>
  <c r="R42" i="17"/>
  <c r="Q44" i="12"/>
  <c r="O44"/>
  <c r="P42" i="17"/>
  <c r="M45" i="16" l="1"/>
  <c r="Q45"/>
  <c r="R45" s="1"/>
  <c r="O45"/>
  <c r="P45" s="1"/>
  <c r="N45"/>
  <c r="L46"/>
  <c r="K47"/>
  <c r="P44" i="10"/>
  <c r="K46" i="8"/>
  <c r="L45"/>
  <c r="Q45" i="15"/>
  <c r="R45" s="1"/>
  <c r="N45"/>
  <c r="O45"/>
  <c r="P45" s="1"/>
  <c r="M45"/>
  <c r="Q44" i="14"/>
  <c r="O44"/>
  <c r="N44"/>
  <c r="N45" i="13"/>
  <c r="Q45"/>
  <c r="R45" s="1"/>
  <c r="K50" i="9"/>
  <c r="L49"/>
  <c r="K47" i="10"/>
  <c r="L46"/>
  <c r="L47" i="18"/>
  <c r="K48"/>
  <c r="R43" i="14"/>
  <c r="S44" i="13"/>
  <c r="R44" i="10"/>
  <c r="Q44" i="8"/>
  <c r="R44" s="1"/>
  <c r="S44"/>
  <c r="N44"/>
  <c r="L46" i="15"/>
  <c r="K47"/>
  <c r="L45" i="14"/>
  <c r="K46"/>
  <c r="L46" i="13"/>
  <c r="K47"/>
  <c r="M48" i="9"/>
  <c r="Q48"/>
  <c r="R48" s="1"/>
  <c r="N48"/>
  <c r="O48"/>
  <c r="P48" s="1"/>
  <c r="M45" i="10"/>
  <c r="O45"/>
  <c r="Q45"/>
  <c r="N45"/>
  <c r="M46" i="18"/>
  <c r="N46"/>
  <c r="O46"/>
  <c r="P46" s="1"/>
  <c r="Q46"/>
  <c r="R46" s="1"/>
  <c r="P43" i="14"/>
  <c r="M43"/>
  <c r="Q43" i="17"/>
  <c r="N43"/>
  <c r="N45" i="12"/>
  <c r="P43" i="17"/>
  <c r="O45" i="12"/>
  <c r="P44"/>
  <c r="M45"/>
  <c r="O44" i="17"/>
  <c r="Q45" i="12"/>
  <c r="R44"/>
  <c r="R43" i="17"/>
  <c r="M43"/>
  <c r="M46" i="16" l="1"/>
  <c r="Q46"/>
  <c r="R46" s="1"/>
  <c r="O46"/>
  <c r="P46" s="1"/>
  <c r="N46"/>
  <c r="L47"/>
  <c r="K48"/>
  <c r="R45" i="10"/>
  <c r="N46" i="13"/>
  <c r="Q46"/>
  <c r="R46" s="1"/>
  <c r="Q45" i="14"/>
  <c r="O45"/>
  <c r="N45"/>
  <c r="Q46" i="15"/>
  <c r="R46" s="1"/>
  <c r="N46"/>
  <c r="O46"/>
  <c r="P46" s="1"/>
  <c r="M46"/>
  <c r="M47" i="18"/>
  <c r="N47"/>
  <c r="O47"/>
  <c r="P47" s="1"/>
  <c r="Q47"/>
  <c r="R47" s="1"/>
  <c r="K48" i="10"/>
  <c r="L47"/>
  <c r="K51" i="9"/>
  <c r="L50"/>
  <c r="R44" i="14"/>
  <c r="Q45" i="8"/>
  <c r="R45" s="1"/>
  <c r="N45"/>
  <c r="P45" i="10"/>
  <c r="L47" i="13"/>
  <c r="K48"/>
  <c r="L46" i="14"/>
  <c r="M45" s="1"/>
  <c r="K47"/>
  <c r="L47" i="15"/>
  <c r="K48"/>
  <c r="L48" i="18"/>
  <c r="K49"/>
  <c r="N46" i="10"/>
  <c r="M46"/>
  <c r="Q46"/>
  <c r="O46"/>
  <c r="M49" i="9"/>
  <c r="Q49"/>
  <c r="R49" s="1"/>
  <c r="O49"/>
  <c r="P49" s="1"/>
  <c r="N49"/>
  <c r="P44" i="14"/>
  <c r="K47" i="8"/>
  <c r="L46"/>
  <c r="S45" s="1"/>
  <c r="S45" i="13"/>
  <c r="M44" i="14"/>
  <c r="Q44" i="17"/>
  <c r="N44"/>
  <c r="O46" i="12"/>
  <c r="P45"/>
  <c r="N45" i="17"/>
  <c r="P44"/>
  <c r="N46" i="12"/>
  <c r="R45"/>
  <c r="M45" i="17"/>
  <c r="O45"/>
  <c r="R44"/>
  <c r="M44"/>
  <c r="Q46" i="12"/>
  <c r="M46"/>
  <c r="M47" i="16" l="1"/>
  <c r="O47"/>
  <c r="P47" s="1"/>
  <c r="Q47"/>
  <c r="R47" s="1"/>
  <c r="N47"/>
  <c r="L48"/>
  <c r="K49"/>
  <c r="R46" i="10"/>
  <c r="K48" i="8"/>
  <c r="L47"/>
  <c r="P46" i="10"/>
  <c r="K50" i="18"/>
  <c r="L49"/>
  <c r="L48" i="15"/>
  <c r="K49"/>
  <c r="L47" i="14"/>
  <c r="K48"/>
  <c r="L48" i="13"/>
  <c r="K49"/>
  <c r="K52" i="9"/>
  <c r="L51"/>
  <c r="K49" i="10"/>
  <c r="L48"/>
  <c r="P45" i="14"/>
  <c r="Q46" i="8"/>
  <c r="R46" s="1"/>
  <c r="S46"/>
  <c r="N46"/>
  <c r="M48" i="18"/>
  <c r="N48"/>
  <c r="O48"/>
  <c r="P48" s="1"/>
  <c r="Q48"/>
  <c r="R48" s="1"/>
  <c r="Q47" i="15"/>
  <c r="R47" s="1"/>
  <c r="N47"/>
  <c r="O47"/>
  <c r="P47" s="1"/>
  <c r="M47"/>
  <c r="M46" i="14"/>
  <c r="Q46"/>
  <c r="O46"/>
  <c r="N46"/>
  <c r="N47" i="13"/>
  <c r="Q47"/>
  <c r="R47" s="1"/>
  <c r="S47"/>
  <c r="M50" i="9"/>
  <c r="O50"/>
  <c r="P50" s="1"/>
  <c r="N50"/>
  <c r="Q50"/>
  <c r="R50" s="1"/>
  <c r="M47" i="10"/>
  <c r="N47"/>
  <c r="Q47"/>
  <c r="O47"/>
  <c r="R45" i="14"/>
  <c r="S46" i="13"/>
  <c r="Q45" i="17"/>
  <c r="O47" i="12"/>
  <c r="P46"/>
  <c r="P45" i="17"/>
  <c r="N46"/>
  <c r="M46"/>
  <c r="M47" i="12"/>
  <c r="Q47"/>
  <c r="N47"/>
  <c r="R46"/>
  <c r="O46" i="17"/>
  <c r="R45"/>
  <c r="M48" i="16" l="1"/>
  <c r="Q48"/>
  <c r="R48" s="1"/>
  <c r="O48"/>
  <c r="P48" s="1"/>
  <c r="N48"/>
  <c r="L49"/>
  <c r="K50"/>
  <c r="R47" i="10"/>
  <c r="P47"/>
  <c r="P46" i="14"/>
  <c r="K50" i="10"/>
  <c r="L49"/>
  <c r="K53" i="9"/>
  <c r="L52"/>
  <c r="N48" i="13"/>
  <c r="Q48"/>
  <c r="R48" s="1"/>
  <c r="Q47" i="14"/>
  <c r="O47"/>
  <c r="N47"/>
  <c r="Q48" i="15"/>
  <c r="R48" s="1"/>
  <c r="N48"/>
  <c r="O48"/>
  <c r="P48" s="1"/>
  <c r="M48"/>
  <c r="L50" i="18"/>
  <c r="K51"/>
  <c r="Q47" i="8"/>
  <c r="R47" s="1"/>
  <c r="N47"/>
  <c r="R46" i="14"/>
  <c r="N48" i="10"/>
  <c r="M48"/>
  <c r="Q48"/>
  <c r="O48"/>
  <c r="M51" i="9"/>
  <c r="Q51"/>
  <c r="R51" s="1"/>
  <c r="O51"/>
  <c r="P51" s="1"/>
  <c r="N51"/>
  <c r="L49" i="13"/>
  <c r="K50"/>
  <c r="L48" i="14"/>
  <c r="K49"/>
  <c r="L49" i="15"/>
  <c r="K50"/>
  <c r="M49" i="18"/>
  <c r="Q49"/>
  <c r="R49" s="1"/>
  <c r="N49"/>
  <c r="O49"/>
  <c r="P49" s="1"/>
  <c r="K49" i="8"/>
  <c r="L48"/>
  <c r="Q46" i="17"/>
  <c r="O48" i="12"/>
  <c r="P46" i="17"/>
  <c r="P47" i="12"/>
  <c r="O47" i="17"/>
  <c r="N48" i="12"/>
  <c r="Q48"/>
  <c r="R46" i="17"/>
  <c r="R47" i="12"/>
  <c r="M48"/>
  <c r="M49" i="16" l="1"/>
  <c r="Q49"/>
  <c r="R49" s="1"/>
  <c r="O49"/>
  <c r="P49" s="1"/>
  <c r="N49"/>
  <c r="L50"/>
  <c r="K51"/>
  <c r="Q49" i="15"/>
  <c r="R49" s="1"/>
  <c r="N49"/>
  <c r="O49"/>
  <c r="P49" s="1"/>
  <c r="M49"/>
  <c r="Q48" i="14"/>
  <c r="O48"/>
  <c r="N48"/>
  <c r="N49" i="13"/>
  <c r="Q49"/>
  <c r="R49" s="1"/>
  <c r="R48" i="10"/>
  <c r="M50" i="18"/>
  <c r="N50"/>
  <c r="O50"/>
  <c r="P50" s="1"/>
  <c r="Q50"/>
  <c r="R50" s="1"/>
  <c r="P47" i="14"/>
  <c r="Q52" i="9"/>
  <c r="R52" s="1"/>
  <c r="N52"/>
  <c r="O52"/>
  <c r="P52" s="1"/>
  <c r="M49" i="10"/>
  <c r="N49"/>
  <c r="Q49"/>
  <c r="O49"/>
  <c r="M47" i="14"/>
  <c r="K50" i="8"/>
  <c r="L49"/>
  <c r="Q48"/>
  <c r="R48" s="1"/>
  <c r="S48"/>
  <c r="N48"/>
  <c r="L50" i="15"/>
  <c r="K51"/>
  <c r="L49" i="14"/>
  <c r="K50"/>
  <c r="L50" i="13"/>
  <c r="K51"/>
  <c r="P48" i="10"/>
  <c r="K52" i="18"/>
  <c r="L51"/>
  <c r="R47" i="14"/>
  <c r="K54" i="9"/>
  <c r="L53"/>
  <c r="K51" i="10"/>
  <c r="L50"/>
  <c r="S47" i="8"/>
  <c r="S48" i="13"/>
  <c r="Q47" i="17"/>
  <c r="N47"/>
  <c r="M47"/>
  <c r="P47"/>
  <c r="P48" i="12"/>
  <c r="Q49"/>
  <c r="N49"/>
  <c r="O48" i="17"/>
  <c r="R47"/>
  <c r="O49" i="12"/>
  <c r="M49"/>
  <c r="R48"/>
  <c r="M50" i="16" l="1"/>
  <c r="Q50"/>
  <c r="R50" s="1"/>
  <c r="O50"/>
  <c r="P50" s="1"/>
  <c r="N50"/>
  <c r="L51"/>
  <c r="K52"/>
  <c r="K52" i="10"/>
  <c r="L51"/>
  <c r="K55" i="9"/>
  <c r="L54"/>
  <c r="N50" i="13"/>
  <c r="Q50"/>
  <c r="R50" s="1"/>
  <c r="Q49" i="14"/>
  <c r="O49"/>
  <c r="N49"/>
  <c r="Q50" i="15"/>
  <c r="R50" s="1"/>
  <c r="N50"/>
  <c r="O50"/>
  <c r="P50" s="1"/>
  <c r="M50"/>
  <c r="N50" i="10"/>
  <c r="M50"/>
  <c r="Q50"/>
  <c r="O50"/>
  <c r="M53" i="9"/>
  <c r="Q53"/>
  <c r="R53" s="1"/>
  <c r="O53"/>
  <c r="P53" s="1"/>
  <c r="N53"/>
  <c r="L52" i="18"/>
  <c r="K53"/>
  <c r="L51" i="13"/>
  <c r="S50" s="1"/>
  <c r="K52"/>
  <c r="L50" i="14"/>
  <c r="K51"/>
  <c r="L51" i="15"/>
  <c r="K52"/>
  <c r="K51" i="8"/>
  <c r="L50"/>
  <c r="P49" i="10"/>
  <c r="P48" i="14"/>
  <c r="S49" i="13"/>
  <c r="M48" i="14"/>
  <c r="M51" i="18"/>
  <c r="N51"/>
  <c r="O51"/>
  <c r="P51" s="1"/>
  <c r="Q51"/>
  <c r="R51" s="1"/>
  <c r="Q49" i="8"/>
  <c r="R49" s="1"/>
  <c r="S49"/>
  <c r="N49"/>
  <c r="R49" i="10"/>
  <c r="R48" i="14"/>
  <c r="M52" i="9"/>
  <c r="Q48" i="17"/>
  <c r="N48"/>
  <c r="O49"/>
  <c r="R48"/>
  <c r="Q50" i="12"/>
  <c r="M48" i="17"/>
  <c r="N50" i="12"/>
  <c r="P48" i="17"/>
  <c r="P49" i="12"/>
  <c r="M50"/>
  <c r="O50"/>
  <c r="R49"/>
  <c r="M51" i="16" l="1"/>
  <c r="Q51"/>
  <c r="R51" s="1"/>
  <c r="O51"/>
  <c r="P51" s="1"/>
  <c r="N51"/>
  <c r="L52"/>
  <c r="K53"/>
  <c r="Q50" i="8"/>
  <c r="R50" s="1"/>
  <c r="N50"/>
  <c r="L52" i="15"/>
  <c r="K53"/>
  <c r="L51" i="14"/>
  <c r="K52"/>
  <c r="L52" i="13"/>
  <c r="K53"/>
  <c r="K54" i="18"/>
  <c r="L53"/>
  <c r="P50" i="10"/>
  <c r="R49" i="14"/>
  <c r="K56" i="9"/>
  <c r="L55"/>
  <c r="K53" i="10"/>
  <c r="L52"/>
  <c r="K52" i="8"/>
  <c r="L51"/>
  <c r="Q51" i="15"/>
  <c r="R51" s="1"/>
  <c r="N51"/>
  <c r="O51"/>
  <c r="P51" s="1"/>
  <c r="M51"/>
  <c r="M50" i="14"/>
  <c r="Q50"/>
  <c r="O50"/>
  <c r="N50"/>
  <c r="N51" i="13"/>
  <c r="Q51"/>
  <c r="R51" s="1"/>
  <c r="S51"/>
  <c r="M52" i="18"/>
  <c r="N52"/>
  <c r="O52"/>
  <c r="P52" s="1"/>
  <c r="Q52"/>
  <c r="R52" s="1"/>
  <c r="R50" i="10"/>
  <c r="P49" i="14"/>
  <c r="M54" i="9"/>
  <c r="O54"/>
  <c r="P54" s="1"/>
  <c r="N54"/>
  <c r="Q54"/>
  <c r="R54" s="1"/>
  <c r="M51" i="10"/>
  <c r="N51"/>
  <c r="Q51"/>
  <c r="O51"/>
  <c r="M49" i="14"/>
  <c r="N49" i="17"/>
  <c r="Q49"/>
  <c r="P49"/>
  <c r="O51" i="12"/>
  <c r="M51"/>
  <c r="M50" i="17"/>
  <c r="R49"/>
  <c r="Q51" i="12"/>
  <c r="M49" i="17"/>
  <c r="P50" i="12"/>
  <c r="N50" i="17"/>
  <c r="O50"/>
  <c r="N51" i="12"/>
  <c r="R50"/>
  <c r="M52" i="16" l="1"/>
  <c r="Q52"/>
  <c r="R52" s="1"/>
  <c r="O52"/>
  <c r="P52" s="1"/>
  <c r="N52"/>
  <c r="L53"/>
  <c r="K54"/>
  <c r="P51" i="10"/>
  <c r="R51"/>
  <c r="R50" i="14"/>
  <c r="Q51" i="8"/>
  <c r="R51" s="1"/>
  <c r="N51"/>
  <c r="N52" i="10"/>
  <c r="M52"/>
  <c r="Q52"/>
  <c r="O52"/>
  <c r="Q55" i="9"/>
  <c r="R55" s="1"/>
  <c r="O55"/>
  <c r="P55" s="1"/>
  <c r="N55"/>
  <c r="M53" i="18"/>
  <c r="Q53"/>
  <c r="R53" s="1"/>
  <c r="N53"/>
  <c r="O53"/>
  <c r="P53" s="1"/>
  <c r="L53" i="13"/>
  <c r="K54"/>
  <c r="L52" i="14"/>
  <c r="K53"/>
  <c r="L53" i="15"/>
  <c r="K54"/>
  <c r="P50" i="14"/>
  <c r="K53" i="8"/>
  <c r="L52"/>
  <c r="K54" i="10"/>
  <c r="L53"/>
  <c r="K57" i="9"/>
  <c r="L56"/>
  <c r="L54" i="18"/>
  <c r="K55"/>
  <c r="N52" i="13"/>
  <c r="Q52"/>
  <c r="R52" s="1"/>
  <c r="S52"/>
  <c r="M51" i="14"/>
  <c r="Q51"/>
  <c r="O51"/>
  <c r="N51"/>
  <c r="Q52" i="15"/>
  <c r="R52" s="1"/>
  <c r="N52"/>
  <c r="O52"/>
  <c r="P52" s="1"/>
  <c r="M52"/>
  <c r="S50" i="8"/>
  <c r="Q50" i="17"/>
  <c r="N51"/>
  <c r="M52" i="12"/>
  <c r="M51" i="17"/>
  <c r="R51" i="12"/>
  <c r="O51" i="17"/>
  <c r="Q52" i="12"/>
  <c r="N52"/>
  <c r="R50" i="17"/>
  <c r="O52" i="12"/>
  <c r="P50" i="17"/>
  <c r="P51" i="12"/>
  <c r="M53" i="16" l="1"/>
  <c r="O53"/>
  <c r="P53" s="1"/>
  <c r="Q53"/>
  <c r="R53" s="1"/>
  <c r="N53"/>
  <c r="L54"/>
  <c r="K55"/>
  <c r="P51" i="14"/>
  <c r="K56" i="18"/>
  <c r="L55"/>
  <c r="Q56" i="9"/>
  <c r="R56" s="1"/>
  <c r="N56"/>
  <c r="O56"/>
  <c r="P56" s="1"/>
  <c r="M53" i="10"/>
  <c r="N53"/>
  <c r="Q53"/>
  <c r="O53"/>
  <c r="Q52" i="8"/>
  <c r="R52" s="1"/>
  <c r="N52"/>
  <c r="Q53" i="15"/>
  <c r="R53" s="1"/>
  <c r="N53"/>
  <c r="O53"/>
  <c r="P53" s="1"/>
  <c r="M53"/>
  <c r="Q52" i="14"/>
  <c r="O52"/>
  <c r="N52"/>
  <c r="N53" i="13"/>
  <c r="Q53"/>
  <c r="R53" s="1"/>
  <c r="R52" i="10"/>
  <c r="M55" i="9"/>
  <c r="S51" i="8"/>
  <c r="R51" i="14"/>
  <c r="M54" i="18"/>
  <c r="N54"/>
  <c r="O54"/>
  <c r="P54" s="1"/>
  <c r="Q54"/>
  <c r="R54" s="1"/>
  <c r="K58" i="9"/>
  <c r="L57"/>
  <c r="K55" i="10"/>
  <c r="L54"/>
  <c r="K54" i="8"/>
  <c r="L53"/>
  <c r="S52" s="1"/>
  <c r="L54" i="15"/>
  <c r="K55"/>
  <c r="L53" i="14"/>
  <c r="M52" s="1"/>
  <c r="K54"/>
  <c r="L54" i="13"/>
  <c r="S53" s="1"/>
  <c r="K55"/>
  <c r="P52" i="10"/>
  <c r="Q51" i="17"/>
  <c r="N52"/>
  <c r="O52"/>
  <c r="M52"/>
  <c r="O53" i="12"/>
  <c r="Q53"/>
  <c r="P52"/>
  <c r="N53"/>
  <c r="M53"/>
  <c r="P51" i="17"/>
  <c r="R52" i="12"/>
  <c r="R51" i="17"/>
  <c r="M54" i="16" l="1"/>
  <c r="Q54"/>
  <c r="R54" s="1"/>
  <c r="O54"/>
  <c r="P54" s="1"/>
  <c r="N54"/>
  <c r="L55"/>
  <c r="K56"/>
  <c r="P52" i="14"/>
  <c r="P53" i="10"/>
  <c r="M55" i="18"/>
  <c r="N55"/>
  <c r="O55"/>
  <c r="P55" s="1"/>
  <c r="Q55"/>
  <c r="R55" s="1"/>
  <c r="L55" i="13"/>
  <c r="K56"/>
  <c r="L54" i="14"/>
  <c r="K55"/>
  <c r="L55" i="15"/>
  <c r="K56"/>
  <c r="Q53" i="8"/>
  <c r="R53" s="1"/>
  <c r="N53"/>
  <c r="N54" i="10"/>
  <c r="M54"/>
  <c r="Q54"/>
  <c r="O54"/>
  <c r="Q57" i="9"/>
  <c r="R57" s="1"/>
  <c r="O57"/>
  <c r="P57" s="1"/>
  <c r="N57"/>
  <c r="N54" i="13"/>
  <c r="Q54"/>
  <c r="R54" s="1"/>
  <c r="S54"/>
  <c r="M53" i="14"/>
  <c r="Q53"/>
  <c r="O53"/>
  <c r="N53"/>
  <c r="Q54" i="15"/>
  <c r="R54" s="1"/>
  <c r="N54"/>
  <c r="O54"/>
  <c r="P54" s="1"/>
  <c r="M54"/>
  <c r="K55" i="8"/>
  <c r="L54"/>
  <c r="K56" i="10"/>
  <c r="L55"/>
  <c r="K59" i="9"/>
  <c r="L58"/>
  <c r="R52" i="14"/>
  <c r="R53" i="10"/>
  <c r="L56" i="18"/>
  <c r="K57"/>
  <c r="M56" i="9"/>
  <c r="Q52" i="17"/>
  <c r="Q54" i="12"/>
  <c r="N53" i="17"/>
  <c r="R52"/>
  <c r="O53"/>
  <c r="P53" i="12"/>
  <c r="O54"/>
  <c r="M53" i="17"/>
  <c r="R53" i="12"/>
  <c r="M54"/>
  <c r="P52" i="17"/>
  <c r="N54" i="12"/>
  <c r="M55" i="16" l="1"/>
  <c r="Q55"/>
  <c r="R55" s="1"/>
  <c r="O55"/>
  <c r="P55" s="1"/>
  <c r="N55"/>
  <c r="L56"/>
  <c r="K57"/>
  <c r="K58" i="18"/>
  <c r="L57"/>
  <c r="O58" i="9"/>
  <c r="P58" s="1"/>
  <c r="N58"/>
  <c r="Q58"/>
  <c r="R58" s="1"/>
  <c r="M55" i="10"/>
  <c r="N55"/>
  <c r="Q55"/>
  <c r="O55"/>
  <c r="Q54" i="8"/>
  <c r="R54" s="1"/>
  <c r="N54"/>
  <c r="M56" i="18"/>
  <c r="N56"/>
  <c r="O56"/>
  <c r="P56" s="1"/>
  <c r="Q56"/>
  <c r="R56" s="1"/>
  <c r="K60" i="9"/>
  <c r="L59"/>
  <c r="L56" i="10"/>
  <c r="K57"/>
  <c r="K56" i="8"/>
  <c r="L55"/>
  <c r="P53" i="14"/>
  <c r="P54" i="10"/>
  <c r="Q55" i="15"/>
  <c r="R55" s="1"/>
  <c r="N55"/>
  <c r="O55"/>
  <c r="P55" s="1"/>
  <c r="M55"/>
  <c r="Q54" i="14"/>
  <c r="O54"/>
  <c r="N54"/>
  <c r="N55" i="13"/>
  <c r="Q55"/>
  <c r="R55" s="1"/>
  <c r="R53" i="14"/>
  <c r="R54" i="10"/>
  <c r="L56" i="15"/>
  <c r="K57"/>
  <c r="L55" i="14"/>
  <c r="K56"/>
  <c r="L56" i="13"/>
  <c r="K57"/>
  <c r="M57" i="9"/>
  <c r="S53" i="8"/>
  <c r="Q53" i="17"/>
  <c r="P53"/>
  <c r="O55" i="12"/>
  <c r="Q55"/>
  <c r="N55"/>
  <c r="O54" i="17"/>
  <c r="R53"/>
  <c r="P54" i="12"/>
  <c r="R54"/>
  <c r="M55"/>
  <c r="M56" i="16" l="1"/>
  <c r="Q56"/>
  <c r="R56" s="1"/>
  <c r="O56"/>
  <c r="P56" s="1"/>
  <c r="N56"/>
  <c r="L57"/>
  <c r="K58"/>
  <c r="Q55" i="14"/>
  <c r="O55"/>
  <c r="N55"/>
  <c r="Q56" i="15"/>
  <c r="R56" s="1"/>
  <c r="N56"/>
  <c r="O56"/>
  <c r="P56" s="1"/>
  <c r="M56"/>
  <c r="R54" i="14"/>
  <c r="Q55" i="8"/>
  <c r="R55" s="1"/>
  <c r="N55"/>
  <c r="L57" i="10"/>
  <c r="K58"/>
  <c r="Q59" i="9"/>
  <c r="R59" s="1"/>
  <c r="O59"/>
  <c r="P59" s="1"/>
  <c r="N59"/>
  <c r="R55" i="10"/>
  <c r="L58" i="18"/>
  <c r="K59"/>
  <c r="M58" i="9"/>
  <c r="N56" i="13"/>
  <c r="Q56"/>
  <c r="R56" s="1"/>
  <c r="L57"/>
  <c r="S56" s="1"/>
  <c r="K58"/>
  <c r="L56" i="14"/>
  <c r="M55" s="1"/>
  <c r="K57"/>
  <c r="L57" i="15"/>
  <c r="K58"/>
  <c r="P54" i="14"/>
  <c r="K57" i="8"/>
  <c r="L56"/>
  <c r="S55" s="1"/>
  <c r="N56" i="10"/>
  <c r="M56"/>
  <c r="Q56"/>
  <c r="O56"/>
  <c r="K61" i="9"/>
  <c r="L60"/>
  <c r="M59" s="1"/>
  <c r="P55" i="10"/>
  <c r="M57" i="18"/>
  <c r="Q57"/>
  <c r="R57" s="1"/>
  <c r="N57"/>
  <c r="O57"/>
  <c r="P57" s="1"/>
  <c r="S55" i="13"/>
  <c r="M54" i="14"/>
  <c r="S54" i="8"/>
  <c r="Q54" i="17"/>
  <c r="N54"/>
  <c r="P54"/>
  <c r="M54"/>
  <c r="R55" i="12"/>
  <c r="O56"/>
  <c r="O55" i="17"/>
  <c r="N56" i="12"/>
  <c r="Q56"/>
  <c r="M55" i="17"/>
  <c r="P55" i="12"/>
  <c r="R54" i="17"/>
  <c r="N55"/>
  <c r="M56" i="12"/>
  <c r="M57" i="16" l="1"/>
  <c r="O57"/>
  <c r="P57" s="1"/>
  <c r="Q57"/>
  <c r="R57" s="1"/>
  <c r="N57"/>
  <c r="L58"/>
  <c r="K59"/>
  <c r="K62" i="9"/>
  <c r="L62" s="1"/>
  <c r="L61"/>
  <c r="R56" i="10"/>
  <c r="K58" i="8"/>
  <c r="L57"/>
  <c r="L58" i="15"/>
  <c r="K59"/>
  <c r="L57" i="14"/>
  <c r="M56" s="1"/>
  <c r="K58"/>
  <c r="L58" i="13"/>
  <c r="K59"/>
  <c r="K60" i="18"/>
  <c r="L59"/>
  <c r="N57" i="10"/>
  <c r="M57"/>
  <c r="Q57"/>
  <c r="O57"/>
  <c r="P55" i="14"/>
  <c r="M60" i="9"/>
  <c r="Q60"/>
  <c r="R60" s="1"/>
  <c r="N60"/>
  <c r="O60"/>
  <c r="P60" s="1"/>
  <c r="P56" i="10"/>
  <c r="Q56" i="8"/>
  <c r="R56" s="1"/>
  <c r="S56"/>
  <c r="N56"/>
  <c r="Q57" i="15"/>
  <c r="R57" s="1"/>
  <c r="N57"/>
  <c r="O57"/>
  <c r="P57" s="1"/>
  <c r="M57"/>
  <c r="Q56" i="14"/>
  <c r="O56"/>
  <c r="N56"/>
  <c r="N57" i="13"/>
  <c r="Q57"/>
  <c r="R57" s="1"/>
  <c r="S57"/>
  <c r="M58" i="18"/>
  <c r="N58"/>
  <c r="O58"/>
  <c r="P58" s="1"/>
  <c r="Q58"/>
  <c r="R58" s="1"/>
  <c r="L58" i="10"/>
  <c r="K59"/>
  <c r="R55" i="14"/>
  <c r="Q55" i="17"/>
  <c r="P55"/>
  <c r="O56"/>
  <c r="M56"/>
  <c r="N56"/>
  <c r="Q57" i="12"/>
  <c r="P56"/>
  <c r="N57"/>
  <c r="O57"/>
  <c r="R55" i="17"/>
  <c r="M57" i="12"/>
  <c r="R56"/>
  <c r="M58" i="16" l="1"/>
  <c r="Q58"/>
  <c r="R58" s="1"/>
  <c r="O58"/>
  <c r="P58" s="1"/>
  <c r="N58"/>
  <c r="L59"/>
  <c r="K60"/>
  <c r="P56" i="14"/>
  <c r="P57" i="10"/>
  <c r="M59" i="18"/>
  <c r="N59"/>
  <c r="O59"/>
  <c r="P59" s="1"/>
  <c r="Q59"/>
  <c r="R59" s="1"/>
  <c r="L59" i="13"/>
  <c r="K60"/>
  <c r="L58" i="14"/>
  <c r="K59"/>
  <c r="L59" i="15"/>
  <c r="K60"/>
  <c r="Q57" i="8"/>
  <c r="R57" s="1"/>
  <c r="N57"/>
  <c r="O62" i="9"/>
  <c r="N62"/>
  <c r="Q62"/>
  <c r="L59" i="10"/>
  <c r="K60"/>
  <c r="N58"/>
  <c r="M58"/>
  <c r="Q58"/>
  <c r="O58"/>
  <c r="R56" i="14"/>
  <c r="R57" i="10"/>
  <c r="L60" i="18"/>
  <c r="K61"/>
  <c r="N58" i="13"/>
  <c r="Q58"/>
  <c r="R58" s="1"/>
  <c r="S58"/>
  <c r="M57" i="14"/>
  <c r="Q57"/>
  <c r="O57"/>
  <c r="N57"/>
  <c r="Q58" i="15"/>
  <c r="R58" s="1"/>
  <c r="N58"/>
  <c r="O58"/>
  <c r="P58" s="1"/>
  <c r="M58"/>
  <c r="K59" i="8"/>
  <c r="L58"/>
  <c r="M62" i="9"/>
  <c r="M61"/>
  <c r="Q61"/>
  <c r="R61" s="1"/>
  <c r="O61"/>
  <c r="P61" s="1"/>
  <c r="N61"/>
  <c r="Q56" i="17"/>
  <c r="O58" i="12"/>
  <c r="O57" i="17"/>
  <c r="N58" i="12"/>
  <c r="P57"/>
  <c r="R56" i="17"/>
  <c r="M58" i="12"/>
  <c r="N57" i="17"/>
  <c r="P56"/>
  <c r="Q58" i="12"/>
  <c r="M57" i="17"/>
  <c r="R57" i="12"/>
  <c r="M59" i="16" l="1"/>
  <c r="O59"/>
  <c r="P59" s="1"/>
  <c r="Q59"/>
  <c r="R59" s="1"/>
  <c r="N59"/>
  <c r="L60"/>
  <c r="K61"/>
  <c r="R57" i="14"/>
  <c r="M60" i="18"/>
  <c r="N60"/>
  <c r="O60"/>
  <c r="P60" s="1"/>
  <c r="Q60"/>
  <c r="R60" s="1"/>
  <c r="R58" i="10"/>
  <c r="N59"/>
  <c r="M59"/>
  <c r="Q59"/>
  <c r="O59"/>
  <c r="N8" i="9"/>
  <c r="N9"/>
  <c r="O59" i="15"/>
  <c r="P59" s="1"/>
  <c r="M59"/>
  <c r="Q59"/>
  <c r="R59" s="1"/>
  <c r="N59"/>
  <c r="Q58" i="14"/>
  <c r="O58"/>
  <c r="N58"/>
  <c r="Q59" i="13"/>
  <c r="R59" s="1"/>
  <c r="N59"/>
  <c r="Q58" i="8"/>
  <c r="R58" s="1"/>
  <c r="S58"/>
  <c r="N58"/>
  <c r="M9" i="9"/>
  <c r="M10" s="1"/>
  <c r="M11" s="1"/>
  <c r="M8"/>
  <c r="K60" i="8"/>
  <c r="L59"/>
  <c r="P57" i="14"/>
  <c r="K62" i="18"/>
  <c r="L62" s="1"/>
  <c r="L61"/>
  <c r="P58" i="10"/>
  <c r="L60"/>
  <c r="K61"/>
  <c r="R62" i="9"/>
  <c r="Q9"/>
  <c r="Q8"/>
  <c r="I48" s="1"/>
  <c r="P62"/>
  <c r="O8"/>
  <c r="I38" s="1"/>
  <c r="O9"/>
  <c r="L60" i="15"/>
  <c r="K61"/>
  <c r="L59" i="14"/>
  <c r="M58" s="1"/>
  <c r="K60"/>
  <c r="L60" i="13"/>
  <c r="K61"/>
  <c r="S57" i="8"/>
  <c r="Q57" i="17"/>
  <c r="O59" i="12"/>
  <c r="N58" i="17"/>
  <c r="O58"/>
  <c r="M59" i="12"/>
  <c r="R57" i="17"/>
  <c r="P57"/>
  <c r="N59" i="12"/>
  <c r="M58" i="17"/>
  <c r="R58" i="12"/>
  <c r="P58"/>
  <c r="Q59"/>
  <c r="M60" i="16" l="1"/>
  <c r="O60"/>
  <c r="P60" s="1"/>
  <c r="Q60"/>
  <c r="R60" s="1"/>
  <c r="N60"/>
  <c r="L61"/>
  <c r="K62"/>
  <c r="L62" s="1"/>
  <c r="Q60" i="13"/>
  <c r="R60" s="1"/>
  <c r="N60"/>
  <c r="P58" i="14"/>
  <c r="R59" i="10"/>
  <c r="S59" i="13"/>
  <c r="Q59" i="14"/>
  <c r="O59"/>
  <c r="N59"/>
  <c r="O60" i="15"/>
  <c r="P60" s="1"/>
  <c r="M60"/>
  <c r="Q60"/>
  <c r="R60" s="1"/>
  <c r="N60"/>
  <c r="R9" i="9"/>
  <c r="R8"/>
  <c r="N60" i="10"/>
  <c r="M60"/>
  <c r="Q60"/>
  <c r="O60"/>
  <c r="M61" i="18"/>
  <c r="Q61"/>
  <c r="R61" s="1"/>
  <c r="N61"/>
  <c r="O61"/>
  <c r="P61" s="1"/>
  <c r="K61" i="8"/>
  <c r="L60"/>
  <c r="L61" i="13"/>
  <c r="K62"/>
  <c r="L62" s="1"/>
  <c r="L60" i="14"/>
  <c r="K61"/>
  <c r="L61" i="15"/>
  <c r="K62"/>
  <c r="L62" s="1"/>
  <c r="O10" i="9"/>
  <c r="O11" s="1"/>
  <c r="I33"/>
  <c r="P8"/>
  <c r="P9"/>
  <c r="I43"/>
  <c r="Q10"/>
  <c r="Q11" s="1"/>
  <c r="L61" i="10"/>
  <c r="K62"/>
  <c r="L62" s="1"/>
  <c r="M62" i="18"/>
  <c r="N62"/>
  <c r="O62"/>
  <c r="Q62"/>
  <c r="Q59" i="8"/>
  <c r="R59" s="1"/>
  <c r="S59"/>
  <c r="N59"/>
  <c r="R58" i="14"/>
  <c r="P59" i="10"/>
  <c r="N10" i="9"/>
  <c r="Q58" i="17"/>
  <c r="P59" i="12"/>
  <c r="O59" i="17"/>
  <c r="R58"/>
  <c r="R59" i="12"/>
  <c r="O60"/>
  <c r="P58" i="17"/>
  <c r="N60" i="12"/>
  <c r="Q60"/>
  <c r="M60"/>
  <c r="M61" i="16" l="1"/>
  <c r="Q61"/>
  <c r="R61" s="1"/>
  <c r="O61"/>
  <c r="P61" s="1"/>
  <c r="N61"/>
  <c r="M62"/>
  <c r="O62"/>
  <c r="Q62"/>
  <c r="N62"/>
  <c r="R10" i="9"/>
  <c r="I19" s="1"/>
  <c r="P62" i="18"/>
  <c r="O8"/>
  <c r="I38" s="1"/>
  <c r="O9"/>
  <c r="M8"/>
  <c r="M9"/>
  <c r="N61" i="10"/>
  <c r="M61"/>
  <c r="Q61"/>
  <c r="O61"/>
  <c r="O61" i="15"/>
  <c r="P61" s="1"/>
  <c r="M61"/>
  <c r="Q61"/>
  <c r="R61" s="1"/>
  <c r="N61"/>
  <c r="Q60" i="14"/>
  <c r="O60"/>
  <c r="N60"/>
  <c r="Q61" i="13"/>
  <c r="R61" s="1"/>
  <c r="N61"/>
  <c r="S62"/>
  <c r="S61"/>
  <c r="K62" i="8"/>
  <c r="L62" s="1"/>
  <c r="L61"/>
  <c r="R60" i="10"/>
  <c r="R11" i="9"/>
  <c r="R59" i="14"/>
  <c r="S60" i="13"/>
  <c r="I28" i="9"/>
  <c r="N11"/>
  <c r="R62" i="18"/>
  <c r="Q8"/>
  <c r="I48" s="1"/>
  <c r="Q9"/>
  <c r="N9"/>
  <c r="N8"/>
  <c r="N62" i="10"/>
  <c r="M62"/>
  <c r="Q62"/>
  <c r="O62"/>
  <c r="O62" i="15"/>
  <c r="M62"/>
  <c r="Q62"/>
  <c r="N62"/>
  <c r="L61" i="14"/>
  <c r="K62"/>
  <c r="L62" s="1"/>
  <c r="Q62" i="13"/>
  <c r="N62"/>
  <c r="Q60" i="8"/>
  <c r="R60" s="1"/>
  <c r="S60"/>
  <c r="N60"/>
  <c r="P60" i="10"/>
  <c r="P59" i="14"/>
  <c r="P10" i="9"/>
  <c r="M59" i="14"/>
  <c r="Q59" i="17"/>
  <c r="N59"/>
  <c r="Q61" i="12"/>
  <c r="O60" i="17"/>
  <c r="M61" i="12"/>
  <c r="N61"/>
  <c r="M62"/>
  <c r="Q62"/>
  <c r="P59" i="17"/>
  <c r="O62" i="12"/>
  <c r="R60"/>
  <c r="O61"/>
  <c r="N62"/>
  <c r="P60"/>
  <c r="R59" i="17"/>
  <c r="M59"/>
  <c r="R62" i="16" l="1"/>
  <c r="Q9"/>
  <c r="Q8"/>
  <c r="I48" s="1"/>
  <c r="M9"/>
  <c r="M8"/>
  <c r="N8"/>
  <c r="N9"/>
  <c r="P62"/>
  <c r="O9"/>
  <c r="O8"/>
  <c r="I38" s="1"/>
  <c r="M10" i="18"/>
  <c r="M11" s="1"/>
  <c r="N10"/>
  <c r="N11" s="1"/>
  <c r="Q8" i="12"/>
  <c r="I48" s="1"/>
  <c r="Q9"/>
  <c r="O8"/>
  <c r="I38" s="1"/>
  <c r="O9"/>
  <c r="M8"/>
  <c r="M9"/>
  <c r="N8"/>
  <c r="N9"/>
  <c r="R62" i="13"/>
  <c r="Q8"/>
  <c r="I48" s="1"/>
  <c r="Q9"/>
  <c r="Q61" i="14"/>
  <c r="O61"/>
  <c r="N61"/>
  <c r="M62"/>
  <c r="M61"/>
  <c r="R62" i="10"/>
  <c r="Q8"/>
  <c r="I48" s="1"/>
  <c r="Q9"/>
  <c r="P11" i="9"/>
  <c r="I24"/>
  <c r="N8" i="13"/>
  <c r="N9"/>
  <c r="N62" i="14"/>
  <c r="Q62"/>
  <c r="O62"/>
  <c r="N9" i="15"/>
  <c r="N8"/>
  <c r="M8"/>
  <c r="M9"/>
  <c r="M10" s="1"/>
  <c r="M11" s="1"/>
  <c r="P62" i="10"/>
  <c r="O9"/>
  <c r="O8"/>
  <c r="I38" s="1"/>
  <c r="M9"/>
  <c r="M10" s="1"/>
  <c r="M11" s="1"/>
  <c r="M8"/>
  <c r="Q10" i="18"/>
  <c r="Q11" s="1"/>
  <c r="I43"/>
  <c r="R9"/>
  <c r="R8"/>
  <c r="Q61" i="8"/>
  <c r="R61" s="1"/>
  <c r="S62"/>
  <c r="S61"/>
  <c r="N61"/>
  <c r="P60" i="14"/>
  <c r="P61" i="10"/>
  <c r="O10" i="18"/>
  <c r="O11" s="1"/>
  <c r="I33"/>
  <c r="P8"/>
  <c r="P9"/>
  <c r="M60" i="14"/>
  <c r="R62" i="15"/>
  <c r="Q8"/>
  <c r="I48" s="1"/>
  <c r="Q9"/>
  <c r="P62"/>
  <c r="O9"/>
  <c r="O8"/>
  <c r="I38" s="1"/>
  <c r="N9" i="10"/>
  <c r="N8"/>
  <c r="Q62" i="8"/>
  <c r="N62"/>
  <c r="S9" i="13"/>
  <c r="S8"/>
  <c r="R60" i="14"/>
  <c r="R61" i="10"/>
  <c r="Q60" i="17"/>
  <c r="N60"/>
  <c r="O61"/>
  <c r="M62"/>
  <c r="N62"/>
  <c r="N61"/>
  <c r="P62" i="12"/>
  <c r="O62" i="17"/>
  <c r="M60"/>
  <c r="R61" i="12"/>
  <c r="P60" i="17"/>
  <c r="R60"/>
  <c r="M61"/>
  <c r="P61" i="12"/>
  <c r="R62"/>
  <c r="N10" i="16" l="1"/>
  <c r="I28" s="1"/>
  <c r="O10"/>
  <c r="O11" s="1"/>
  <c r="I33"/>
  <c r="N11"/>
  <c r="R8"/>
  <c r="R9"/>
  <c r="R10" s="1"/>
  <c r="P8"/>
  <c r="P9"/>
  <c r="P10" s="1"/>
  <c r="Q10"/>
  <c r="Q11" s="1"/>
  <c r="I43"/>
  <c r="M10"/>
  <c r="M11" s="1"/>
  <c r="I28" i="18"/>
  <c r="R10"/>
  <c r="R11" s="1"/>
  <c r="N10" i="12"/>
  <c r="N11" s="1"/>
  <c r="M10"/>
  <c r="M11" s="1"/>
  <c r="N10" i="13"/>
  <c r="N10" i="15"/>
  <c r="I28" s="1"/>
  <c r="P9" i="12"/>
  <c r="P8"/>
  <c r="R8"/>
  <c r="R9"/>
  <c r="M9" i="17"/>
  <c r="M8"/>
  <c r="O8"/>
  <c r="I38" s="1"/>
  <c r="O9"/>
  <c r="N9"/>
  <c r="N8"/>
  <c r="R62" i="8"/>
  <c r="Q8"/>
  <c r="I48" s="1"/>
  <c r="Q9"/>
  <c r="I33" i="15"/>
  <c r="O10"/>
  <c r="O11" s="1"/>
  <c r="I43"/>
  <c r="Q10"/>
  <c r="Q11" s="1"/>
  <c r="R9"/>
  <c r="R8"/>
  <c r="S8" i="8"/>
  <c r="S9"/>
  <c r="P8" i="10"/>
  <c r="P9"/>
  <c r="N11" i="15"/>
  <c r="R62" i="14"/>
  <c r="Q8"/>
  <c r="I48" s="1"/>
  <c r="Q9"/>
  <c r="I28" i="13"/>
  <c r="N11"/>
  <c r="I43" i="10"/>
  <c r="Q10"/>
  <c r="Q11" s="1"/>
  <c r="R8"/>
  <c r="R9"/>
  <c r="M8" i="14"/>
  <c r="M9"/>
  <c r="M10" s="1"/>
  <c r="M11" s="1"/>
  <c r="P61"/>
  <c r="Q10" i="13"/>
  <c r="Q11" s="1"/>
  <c r="I43"/>
  <c r="R9"/>
  <c r="R8"/>
  <c r="S10"/>
  <c r="S11" s="1"/>
  <c r="N10" i="10"/>
  <c r="P10" i="18"/>
  <c r="N8" i="8"/>
  <c r="N9"/>
  <c r="P9" i="15"/>
  <c r="P8"/>
  <c r="I33" i="10"/>
  <c r="O10"/>
  <c r="O11" s="1"/>
  <c r="P62" i="14"/>
  <c r="O8"/>
  <c r="I38" s="1"/>
  <c r="O9"/>
  <c r="N8"/>
  <c r="N9"/>
  <c r="R61"/>
  <c r="I28" i="12"/>
  <c r="I33"/>
  <c r="O10"/>
  <c r="O11" s="1"/>
  <c r="Q10"/>
  <c r="Q11" s="1"/>
  <c r="I43"/>
  <c r="Q61" i="17"/>
  <c r="Q62"/>
  <c r="P62"/>
  <c r="R62"/>
  <c r="R61"/>
  <c r="P61"/>
  <c r="Q8" l="1"/>
  <c r="I48" s="1"/>
  <c r="Q9"/>
  <c r="I24" i="16"/>
  <c r="P11"/>
  <c r="R11"/>
  <c r="I19"/>
  <c r="S10" i="8"/>
  <c r="S11" s="1"/>
  <c r="N10"/>
  <c r="R10" i="13"/>
  <c r="I19" s="1"/>
  <c r="I19" i="18"/>
  <c r="P10" i="10"/>
  <c r="P11" s="1"/>
  <c r="R10"/>
  <c r="I19" s="1"/>
  <c r="R10" i="12"/>
  <c r="R11" s="1"/>
  <c r="N10" i="17"/>
  <c r="N11" s="1"/>
  <c r="P10" i="12"/>
  <c r="P11" s="1"/>
  <c r="P9" i="17"/>
  <c r="P8"/>
  <c r="R9"/>
  <c r="R8"/>
  <c r="O10" i="14"/>
  <c r="O11" s="1"/>
  <c r="I33"/>
  <c r="P8"/>
  <c r="P9"/>
  <c r="I28" i="10"/>
  <c r="N11"/>
  <c r="I43" i="8"/>
  <c r="Q10"/>
  <c r="Q11" s="1"/>
  <c r="R9"/>
  <c r="R8"/>
  <c r="I28" i="17"/>
  <c r="I43"/>
  <c r="N10" i="14"/>
  <c r="P10" i="15"/>
  <c r="M10" i="17"/>
  <c r="M11" s="1"/>
  <c r="I28" i="8"/>
  <c r="N11"/>
  <c r="P11" i="18"/>
  <c r="I24"/>
  <c r="R11" i="13"/>
  <c r="Q10" i="14"/>
  <c r="Q11" s="1"/>
  <c r="I43"/>
  <c r="R9"/>
  <c r="R8"/>
  <c r="O10" i="17"/>
  <c r="O11" s="1"/>
  <c r="I33"/>
  <c r="R10" i="15"/>
  <c r="I19" i="12"/>
  <c r="Q10" i="17" l="1"/>
  <c r="Q11" s="1"/>
  <c r="R11" i="10"/>
  <c r="R10" i="14"/>
  <c r="I24" i="12"/>
  <c r="I24" i="10"/>
  <c r="I24" i="19"/>
  <c r="R10" i="17"/>
  <c r="R11" s="1"/>
  <c r="P10"/>
  <c r="I24" s="1"/>
  <c r="R11" i="14"/>
  <c r="I19"/>
  <c r="N11"/>
  <c r="I28"/>
  <c r="I19" i="17"/>
  <c r="R10" i="8"/>
  <c r="R11" i="15"/>
  <c r="I19"/>
  <c r="P11"/>
  <c r="I24"/>
  <c r="P10" i="14"/>
  <c r="P11" i="17" l="1"/>
  <c r="R11" i="8"/>
  <c r="I19"/>
  <c r="P11" i="14"/>
  <c r="I24"/>
</calcChain>
</file>

<file path=xl/sharedStrings.xml><?xml version="1.0" encoding="utf-8"?>
<sst xmlns="http://schemas.openxmlformats.org/spreadsheetml/2006/main" count="1302" uniqueCount="398">
  <si>
    <t>CopyrightNotice</t>
  </si>
  <si>
    <t>Expiration</t>
  </si>
  <si>
    <t>IsRegistered</t>
  </si>
  <si>
    <t>InGracePeriod</t>
  </si>
  <si>
    <t>IsValidUser</t>
  </si>
  <si>
    <t>License Agreement and Limited Warranty</t>
  </si>
  <si>
    <t>By accepting and using this software the user agrees:</t>
  </si>
  <si>
    <t>That this is a legal agreement between you (either  an individual or entity), the end user, and Warren Design Vision™.</t>
  </si>
  <si>
    <t>If you do not agree to the terms of this Agreement, promptly delete the software and accompanying folders</t>
  </si>
  <si>
    <t>and return any media to the distributor for a full refund.</t>
  </si>
  <si>
    <t>Warren Design Vision™ (WDV) Software License</t>
  </si>
  <si>
    <t>1. LICENSE GRANT: Your payment for this copy of the software authorizes you to use one copy of the specified version</t>
  </si>
  <si>
    <t xml:space="preserve"> of the Warren Design Vision™ software accompanying this document, hereafter referred to as the Software.</t>
  </si>
  <si>
    <t>2. COPYRIGHT: The Software accompanying this document is owned by Warren Design Vision™ and is protected by</t>
  </si>
  <si>
    <t>3. OTHER RESTRICTIONS:  You may not rent or lease the Software, but you may transfer your rights under this agreement</t>
  </si>
  <si>
    <t>on a permanent basis provided you transfer this license agreement and the Software.  You may not reverse engineer,</t>
  </si>
  <si>
    <t>decompile, or disassemble the Software.</t>
  </si>
  <si>
    <t>Limited Warranty</t>
  </si>
  <si>
    <t>2. REMEDY: Warren Design Vision™'s entire liability and your exclusive remedy shall be, at Warren Design Vision™'s</t>
  </si>
  <si>
    <t>3. DISCLAIMER: Warren Design Vision™ disclaims all other warranties, either express or implied, including but not</t>
  </si>
  <si>
    <t xml:space="preserve">limited to implied warranties of merchantability and fitness for a particular purpose, with respect to the Software.  </t>
  </si>
  <si>
    <t>4. CONSEQUENTIAL DAMAGES: In no event shall Warren Design Vision™ or its suppliers be liable for any damages</t>
  </si>
  <si>
    <t>whatsoever (including, without limitation, damages for loss of business profits, business interruption, loss of business</t>
  </si>
  <si>
    <t>information, or other pecuniary loss) arising out of the use or inability to use this product, even if the vendor has</t>
  </si>
  <si>
    <t>been advised of the possibility of such damages.</t>
  </si>
  <si>
    <t>This product is provided "as is" with no warrant of merchantiblity</t>
  </si>
  <si>
    <t>or fitness for any purpose expressed or implied.</t>
  </si>
  <si>
    <t>The user assumes all liability for damages resulting from the use or misuse of this product.</t>
  </si>
  <si>
    <t>Warren Design Vision's liability is limited to replacement of this software if it is found to be defective.</t>
  </si>
  <si>
    <t>U.S. Government Restricted Rights</t>
  </si>
  <si>
    <t>This Software and documentation are provided with RESTRICTED RIGHTS.</t>
  </si>
  <si>
    <t>Use, duplication, or disclosure by the Government is subject to restrictions as set forth in subparagraph (c)(1)(ii)</t>
  </si>
  <si>
    <t>of the Rights in Technical Data and Computer Software clause at DFARS 252.227-7013 or subparagraphs (c)(1) and (2)</t>
  </si>
  <si>
    <t>of the Commercial Computer Software-Restricted Rights at 48 CFR 52.227-19, as applicable.</t>
  </si>
  <si>
    <t>For more information contact:</t>
  </si>
  <si>
    <t xml:space="preserve"> Limitations of Linear Beam Theory</t>
  </si>
  <si>
    <t>1) Small Deflections:</t>
  </si>
  <si>
    <t xml:space="preserve"> The beam must be straight or nearly straight.</t>
  </si>
  <si>
    <t>2) Symmetric Cross Section:</t>
  </si>
  <si>
    <t xml:space="preserve"> The beam must possess a symmetric cross section.</t>
  </si>
  <si>
    <t>3) Linearly Elastic Material:</t>
  </si>
  <si>
    <t xml:space="preserve"> The material must be homogeneous, linearly elastic and isotropic.</t>
  </si>
  <si>
    <t>4) Sufficient Length:</t>
  </si>
  <si>
    <t xml:space="preserve"> The beam must be long enough so that shear forces do not cause warping of the cross section.</t>
  </si>
  <si>
    <t xml:space="preserve"> A length-to-height ratio of 10 or more is usually adequate to make shearing effects negligible.</t>
  </si>
  <si>
    <t xml:space="preserve">5) Non buckling Behavior: </t>
  </si>
  <si>
    <t>The beam must have sufficient lateral stiffness so that it does not buckle under the applied loads.</t>
  </si>
  <si>
    <t>Other Limitations</t>
  </si>
  <si>
    <t>1) Static Loads Only</t>
  </si>
  <si>
    <t xml:space="preserve"> The beam must not be subjected to dynamic loads, vibration, or fatique.</t>
  </si>
  <si>
    <t>2) Self Weight, Dead Weight and Body Forces</t>
  </si>
  <si>
    <t>3) Holes, Flaws, Cracks, Stress Concentrations</t>
  </si>
  <si>
    <t xml:space="preserve"> The beam is assumed to be without holes, flaws, cracks, chips, voids</t>
  </si>
  <si>
    <t xml:space="preserve"> or any other defect from drilling, manufacturing, process, or stress concentration.</t>
  </si>
  <si>
    <t>4) Rust, Corrosion, Thermal Cycling</t>
  </si>
  <si>
    <t xml:space="preserve"> The beam is assumed to be without rust, corrosion, weathering, thermal cycling.</t>
  </si>
  <si>
    <t>5) Manufacturing Tolerances</t>
  </si>
  <si>
    <t xml:space="preserve"> The beam is assumed to be of the exact input size, with no variation.</t>
  </si>
  <si>
    <t>6) Margins of Safety</t>
  </si>
  <si>
    <t>You, the user, are responsible for setting and determining safety factors and margins.</t>
  </si>
  <si>
    <t>These margins are application and discipline dependent.</t>
  </si>
  <si>
    <t>You, the user, are responsible to account for error and uncertainty in your analysis.</t>
  </si>
  <si>
    <t>7) Non-critical applications</t>
  </si>
  <si>
    <t>The manufacturer does not recommend or warrant these units for use</t>
  </si>
  <si>
    <t xml:space="preserve"> in any application where an error could result in injury,</t>
  </si>
  <si>
    <t xml:space="preserve"> loss of life, or damage to persons or property.</t>
  </si>
  <si>
    <t>8) Necessity of Cross-Verification</t>
  </si>
  <si>
    <t>Input Units System</t>
  </si>
  <si>
    <t>Active</t>
  </si>
  <si>
    <t>Units</t>
  </si>
  <si>
    <t>Distance</t>
  </si>
  <si>
    <t>Force</t>
  </si>
  <si>
    <t>US</t>
  </si>
  <si>
    <t>SI</t>
  </si>
  <si>
    <t>m</t>
  </si>
  <si>
    <t>kg</t>
  </si>
  <si>
    <t>N</t>
  </si>
  <si>
    <t>in</t>
  </si>
  <si>
    <t>lb</t>
  </si>
  <si>
    <t>Length</t>
  </si>
  <si>
    <t>Input</t>
  </si>
  <si>
    <t>To Convert</t>
  </si>
  <si>
    <t>Multiply By:</t>
  </si>
  <si>
    <t>m_to_cm</t>
  </si>
  <si>
    <t>cm_to_m</t>
  </si>
  <si>
    <t>in_to_cm</t>
  </si>
  <si>
    <t>cm_to_in</t>
  </si>
  <si>
    <t>ft_to_m</t>
  </si>
  <si>
    <t>m_to_ft</t>
  </si>
  <si>
    <t>ft_to_in</t>
  </si>
  <si>
    <t>in_to_ft</t>
  </si>
  <si>
    <t>Mass &amp; Weight</t>
  </si>
  <si>
    <t>g_to_kg</t>
  </si>
  <si>
    <t>kg_to_g</t>
  </si>
  <si>
    <t>slug_to_kg</t>
  </si>
  <si>
    <t>kg_to_slug</t>
  </si>
  <si>
    <t>slug_to_lb</t>
  </si>
  <si>
    <t>lb_to_slug</t>
  </si>
  <si>
    <t>kg_to_lb</t>
  </si>
  <si>
    <t>lb_to_kg</t>
  </si>
  <si>
    <t>Units for mass are converted</t>
  </si>
  <si>
    <t>to units for weight via:</t>
  </si>
  <si>
    <t>W=mg where g is:</t>
  </si>
  <si>
    <t>g_US</t>
  </si>
  <si>
    <t>ft/s^2</t>
  </si>
  <si>
    <t>g_SI</t>
  </si>
  <si>
    <t>m/s^2</t>
  </si>
  <si>
    <t>Excel Notation</t>
  </si>
  <si>
    <t>N_to_lb</t>
  </si>
  <si>
    <t>lb_to_N</t>
  </si>
  <si>
    <t>US_to_SI Misc.</t>
  </si>
  <si>
    <t>US_to_SI_E</t>
  </si>
  <si>
    <t>Conv_E</t>
  </si>
  <si>
    <t>US_to_SI_s</t>
  </si>
  <si>
    <t>Conv_s</t>
  </si>
  <si>
    <t>US_to_SI_r</t>
  </si>
  <si>
    <t>Conv_r</t>
  </si>
  <si>
    <t>US_to_SI_x</t>
  </si>
  <si>
    <t>Conv_x</t>
  </si>
  <si>
    <t>Input Material Name</t>
  </si>
  <si>
    <t>Elastic</t>
  </si>
  <si>
    <t>Compressive</t>
  </si>
  <si>
    <t>Strength To</t>
  </si>
  <si>
    <t>Modulus</t>
  </si>
  <si>
    <t>Yield Strength</t>
  </si>
  <si>
    <t>Weight</t>
  </si>
  <si>
    <t>Properties</t>
  </si>
  <si>
    <t>Material</t>
  </si>
  <si>
    <t>E</t>
  </si>
  <si>
    <t>s</t>
  </si>
  <si>
    <t>Depend on form &amp; treatment.</t>
  </si>
  <si>
    <t>Enter Material Designation Above: • User Defined Materials May Be Specified At Bottom of Table.</t>
  </si>
  <si>
    <t>Aluminum†</t>
  </si>
  <si>
    <t>Material PROPS™ 2.0</t>
  </si>
  <si>
    <t>Alloy</t>
  </si>
  <si>
    <t>Designation</t>
  </si>
  <si>
    <t>2024-T3</t>
  </si>
  <si>
    <t>Low cost, Common</t>
  </si>
  <si>
    <t>6061-T6</t>
  </si>
  <si>
    <t>Low cost, Weldable, Formable, Tubing &lt; Sheet Strength</t>
  </si>
  <si>
    <t>7075-T6</t>
  </si>
  <si>
    <t>High strength to weight.</t>
  </si>
  <si>
    <t>† lowest strength value quoted when variation occurs for different forms, e.g. bar, plate, etc.</t>
  </si>
  <si>
    <t>* corresponds to the tallest possible suspended column for sea level g.</t>
  </si>
  <si>
    <t>Steel†</t>
  </si>
  <si>
    <t>Depend on form &amp; heat treatment.</t>
  </si>
  <si>
    <t>4130 Normalized</t>
  </si>
  <si>
    <t>Weldable</t>
  </si>
  <si>
    <t>4130 (180 BHN) Wrought</t>
  </si>
  <si>
    <t>4330 (220 BHN) Wrought</t>
  </si>
  <si>
    <t>4340 (260 BHN)</t>
  </si>
  <si>
    <t>Bars, tubing and forgings.</t>
  </si>
  <si>
    <t>SAE 1005 (90 BHN)</t>
  </si>
  <si>
    <t>SAE 1005 (125 BHN)</t>
  </si>
  <si>
    <t>SAE 1020 (90 BHN)</t>
  </si>
  <si>
    <t>SAE 1045 (225 BHN)</t>
  </si>
  <si>
    <t>SAE 1045 (450 BHN)</t>
  </si>
  <si>
    <t>SAE 1045 (650 BHN)</t>
  </si>
  <si>
    <t>SAE 4142 (670 BHN)</t>
  </si>
  <si>
    <t>SAE 5160 (430 BHN)</t>
  </si>
  <si>
    <t>SAE 9262 (260 BHN)</t>
  </si>
  <si>
    <t>SAE 9262 (410 BHN)</t>
  </si>
  <si>
    <t>Tool L2</t>
  </si>
  <si>
    <t>Structural A36</t>
  </si>
  <si>
    <t>Stainless</t>
  </si>
  <si>
    <t>17-4 PH</t>
  </si>
  <si>
    <t>Readily forged, welded &amp; brazed.</t>
  </si>
  <si>
    <t>17-4 PH Heat Treated</t>
  </si>
  <si>
    <t>17-7 PH (TH-1050)</t>
  </si>
  <si>
    <t>15-5 PH</t>
  </si>
  <si>
    <t>15-5 PH  Heat Treated</t>
  </si>
  <si>
    <t>PH 15-7 MO</t>
  </si>
  <si>
    <t>Readily cold formed and cold drawn.</t>
  </si>
  <si>
    <t>18 NI Maraging (460 BHN)</t>
  </si>
  <si>
    <t>AISI 301 (full hard)</t>
  </si>
  <si>
    <t>Yield strength in longitudinal grain direction.</t>
  </si>
  <si>
    <t>AISI 304</t>
  </si>
  <si>
    <t>AISI 304 (160 BHN)</t>
  </si>
  <si>
    <t>Heat Resistant</t>
  </si>
  <si>
    <t>A286</t>
  </si>
  <si>
    <t>Weldable.  High strength up to 1300° F.</t>
  </si>
  <si>
    <t>Inconel 600</t>
  </si>
  <si>
    <t>Weldable.  For low stress parts up to 2000° F.</t>
  </si>
  <si>
    <t>Inconel 718</t>
  </si>
  <si>
    <t>High strength and creep resistance to 1300° F.</t>
  </si>
  <si>
    <t>Can be cast, but strength is lower.</t>
  </si>
  <si>
    <t>Titanium† &amp; Magnesium</t>
  </si>
  <si>
    <t>Depend on heat treatment!</t>
  </si>
  <si>
    <t>Titanium: 6%AL-4%V (S.T.A)</t>
  </si>
  <si>
    <t>Can be spot and fusion welded.  Corrosion resistant.</t>
  </si>
  <si>
    <t>Titanium: 6%AL-4%V</t>
  </si>
  <si>
    <t>Different sources quote different values!</t>
  </si>
  <si>
    <t>Titanium: 6AL-6V-2SN</t>
  </si>
  <si>
    <t>Good formablity.  Corrosion resistant.</t>
  </si>
  <si>
    <t>Titanium: 5AL-2.5SN</t>
  </si>
  <si>
    <t>Titanium: 8-1-1</t>
  </si>
  <si>
    <t>Magnesium: Am 1004-T61</t>
  </si>
  <si>
    <t>Magnesium: AZ80A-T5</t>
  </si>
  <si>
    <t>Other Metals†</t>
  </si>
  <si>
    <t>Copper: annealed</t>
  </si>
  <si>
    <t>High Purity</t>
  </si>
  <si>
    <t>Copper: cold worked</t>
  </si>
  <si>
    <t>Copper Alloy: Red Brass C83400</t>
  </si>
  <si>
    <t>Copper Alloy: Bronze C86100</t>
  </si>
  <si>
    <t>Nickel 200</t>
  </si>
  <si>
    <t>Phosphor Bronze: (510)</t>
  </si>
  <si>
    <t>Cold Rolled</t>
  </si>
  <si>
    <t>Phosphor Bronze: (524)</t>
  </si>
  <si>
    <t>Spring Temper, Ultimate Strength Listed</t>
  </si>
  <si>
    <t>Plastics†</t>
  </si>
  <si>
    <t>Nylon 66 Cast</t>
  </si>
  <si>
    <t>Nylon 66 Molded</t>
  </si>
  <si>
    <r>
      <t xml:space="preserve">Wood† - </t>
    </r>
    <r>
      <rPr>
        <i/>
        <sz val="10"/>
        <rFont val="Geneva"/>
      </rPr>
      <t>Anisotropic yield strength: Load parallel to grain.</t>
    </r>
  </si>
  <si>
    <t>Tensile</t>
  </si>
  <si>
    <t>Wood</t>
  </si>
  <si>
    <t>Depend on selection &amp; orientation!</t>
  </si>
  <si>
    <t>Southern Pine: #2 Grade</t>
  </si>
  <si>
    <t>Northern Pine: #2 Grade</t>
  </si>
  <si>
    <t>Douglas Fir: #1 Grade</t>
  </si>
  <si>
    <t>Eastern Spruce: #1 Grade</t>
  </si>
  <si>
    <t>Eastern Spruce: #2 Grade</t>
  </si>
  <si>
    <r>
      <t xml:space="preserve">Composites - Manual Layup†  </t>
    </r>
    <r>
      <rPr>
        <i/>
        <sz val="10"/>
        <rFont val="Geneva"/>
      </rPr>
      <t>Anisotropic yield strength: Compression parallel to fiber.</t>
    </r>
  </si>
  <si>
    <t>Laminate</t>
  </si>
  <si>
    <t>(50% Fiber Volume)</t>
  </si>
  <si>
    <t>Fiberglass 7781 Bidirectional</t>
  </si>
  <si>
    <t>Fiberglass 1543 Unidirectional</t>
  </si>
  <si>
    <t>Graphite T300 Unidirectional</t>
  </si>
  <si>
    <t>Kevlar 49 Bidirectional Weave</t>
  </si>
  <si>
    <t>Composites - Preimpregnated Laminates† @ 75°F</t>
  </si>
  <si>
    <t>Bidirectional Fiberglass Fabric</t>
  </si>
  <si>
    <t>Hexcel 1581/ F161</t>
  </si>
  <si>
    <t>Hexcel 7781/ F161</t>
  </si>
  <si>
    <t>Hexcel 7781/ F178</t>
  </si>
  <si>
    <t>Bidirectional Kevlar Fabric Dry</t>
  </si>
  <si>
    <t>Hexcel K120/F155</t>
  </si>
  <si>
    <t>Hexcel K120/F161</t>
  </si>
  <si>
    <t>Hexcel K285/F161</t>
  </si>
  <si>
    <t>Hexcel K285/F185</t>
  </si>
  <si>
    <t>Bidirectional Carbon Fabric</t>
  </si>
  <si>
    <t>Hexcel F3T584/F593</t>
  </si>
  <si>
    <t>vendor density</t>
  </si>
  <si>
    <t>Unidirectional Carbon Tape Dry</t>
  </si>
  <si>
    <t>Hexcel T2G145/F593</t>
  </si>
  <si>
    <t>Hexcel T6T145/F652</t>
  </si>
  <si>
    <t>User-Defined Materials</t>
  </si>
  <si>
    <t>Steel Forged</t>
  </si>
  <si>
    <t>Steel 4340 (260 BHN)</t>
  </si>
  <si>
    <t>Aluminum Lot #QC-36</t>
  </si>
  <si>
    <t>AL 7075-T6</t>
  </si>
  <si>
    <t>Material 3</t>
  </si>
  <si>
    <t>Graphite Tape: Hexcel T2G145/F593</t>
  </si>
  <si>
    <t>Input Section Parameters</t>
  </si>
  <si>
    <t>Moment</t>
  </si>
  <si>
    <t>Cross</t>
  </si>
  <si>
    <t>Neutral</t>
  </si>
  <si>
    <t>of</t>
  </si>
  <si>
    <t>Section</t>
  </si>
  <si>
    <t>Axis</t>
  </si>
  <si>
    <t>Inertia</t>
  </si>
  <si>
    <t>Area</t>
  </si>
  <si>
    <t>Position</t>
  </si>
  <si>
    <t>Ix</t>
  </si>
  <si>
    <t>A</t>
  </si>
  <si>
    <t>Ybar</t>
  </si>
  <si>
    <t>Rectangular</t>
  </si>
  <si>
    <t>Elliptical</t>
  </si>
  <si>
    <t>I-Beam</t>
  </si>
  <si>
    <t>For solid section set b &amp; h to 0.</t>
  </si>
  <si>
    <t>B</t>
  </si>
  <si>
    <t>H</t>
  </si>
  <si>
    <t>X bar</t>
  </si>
  <si>
    <t>b</t>
  </si>
  <si>
    <t>Y bar</t>
  </si>
  <si>
    <t>h</t>
  </si>
  <si>
    <t>Moment of Inertia</t>
  </si>
  <si>
    <t>Radius of Gyration</t>
  </si>
  <si>
    <t>Kx</t>
  </si>
  <si>
    <t>Iy</t>
  </si>
  <si>
    <t>Ky</t>
  </si>
  <si>
    <t>Iz</t>
  </si>
  <si>
    <t>Kz</t>
  </si>
  <si>
    <t>Ix1</t>
  </si>
  <si>
    <t>Kx1</t>
  </si>
  <si>
    <t>Iy1</t>
  </si>
  <si>
    <t>Ky1</t>
  </si>
  <si>
    <t>Iz1</t>
  </si>
  <si>
    <t>Kz1</t>
  </si>
  <si>
    <t>For solid section set Tw=B.</t>
  </si>
  <si>
    <t>Tf</t>
  </si>
  <si>
    <t>Tw</t>
  </si>
  <si>
    <t>Simply Supported</t>
  </si>
  <si>
    <t>Concentrated Moment</t>
  </si>
  <si>
    <t>Input Parameters</t>
  </si>
  <si>
    <t>Station</t>
  </si>
  <si>
    <t>Equivalent</t>
  </si>
  <si>
    <t>Deflection</t>
  </si>
  <si>
    <t>Shear</t>
  </si>
  <si>
    <t>Avg. Shear</t>
  </si>
  <si>
    <t>Bending</t>
  </si>
  <si>
    <t>Plottable</t>
  </si>
  <si>
    <t>Beam</t>
  </si>
  <si>
    <t>x</t>
  </si>
  <si>
    <t>Dist. Load</t>
  </si>
  <si>
    <t>Stress</t>
  </si>
  <si>
    <t>Active Material</t>
  </si>
  <si>
    <t>lb/in</t>
  </si>
  <si>
    <t>a</t>
  </si>
  <si>
    <t>M</t>
  </si>
  <si>
    <t>L</t>
  </si>
  <si>
    <t>Minima</t>
  </si>
  <si>
    <t>Active Section</t>
  </si>
  <si>
    <t>Maxima</t>
  </si>
  <si>
    <t>Extrema</t>
  </si>
  <si>
    <t>Occur at x =</t>
  </si>
  <si>
    <t>Volume</t>
  </si>
  <si>
    <t>Peak</t>
  </si>
  <si>
    <t>Ra</t>
  </si>
  <si>
    <t>Rb</t>
  </si>
  <si>
    <t>Average</t>
  </si>
  <si>
    <t>Shape</t>
  </si>
  <si>
    <t>End</t>
  </si>
  <si>
    <t>Extremal</t>
  </si>
  <si>
    <t>Slope</t>
  </si>
  <si>
    <t>°</t>
  </si>
  <si>
    <t>Max</t>
  </si>
  <si>
    <t>Min</t>
  </si>
  <si>
    <t>a_C1</t>
  </si>
  <si>
    <t>a_C2</t>
  </si>
  <si>
    <t>a_C1p</t>
  </si>
  <si>
    <t>a_C2p</t>
  </si>
  <si>
    <t>Concentrated Force</t>
  </si>
  <si>
    <t>Concentrated Load</t>
  </si>
  <si>
    <t>Load</t>
  </si>
  <si>
    <t>Concentrated</t>
  </si>
  <si>
    <t>P</t>
  </si>
  <si>
    <t>Linear Force</t>
  </si>
  <si>
    <t>Linearly Varying Load</t>
  </si>
  <si>
    <t>Uniform</t>
  </si>
  <si>
    <t>Sloping</t>
  </si>
  <si>
    <t>Start</t>
  </si>
  <si>
    <r>
      <t>w</t>
    </r>
    <r>
      <rPr>
        <vertAlign val="subscript"/>
        <sz val="12"/>
        <rFont val="Geneva"/>
      </rPr>
      <t>b</t>
    </r>
  </si>
  <si>
    <r>
      <t>w</t>
    </r>
    <r>
      <rPr>
        <vertAlign val="subscript"/>
        <sz val="12"/>
        <rFont val="Geneva"/>
      </rPr>
      <t>m</t>
    </r>
  </si>
  <si>
    <t xml:space="preserve">  a_C2p</t>
  </si>
  <si>
    <t>a_C1pp</t>
  </si>
  <si>
    <t>a_C2pp</t>
  </si>
  <si>
    <t>Combined Load</t>
  </si>
  <si>
    <t>Beam Length</t>
  </si>
  <si>
    <t>Cantilevered</t>
  </si>
  <si>
    <t>Ma</t>
  </si>
  <si>
    <t xml:space="preserve"> a_C1p</t>
  </si>
  <si>
    <t>Section Properties</t>
  </si>
  <si>
    <t>United States copyright laws and international treaty provisions.  The software is like any other copyrighted material.</t>
  </si>
  <si>
    <t>1. LIMITATIONS: No warranty of merchantibilitity or fitness is expressed or implied for this software.</t>
  </si>
  <si>
    <t xml:space="preserve">                         (a) return of the price paid</t>
  </si>
  <si>
    <t>option:</t>
  </si>
  <si>
    <t>1) Choose Active Section Type</t>
  </si>
  <si>
    <t>2) Specify  dimensions of Active Section</t>
  </si>
  <si>
    <t>3) Scroll for more types.</t>
  </si>
  <si>
    <t>Note: The symbols Conv_E, Conv_s, Conv_r and Conv_x may be used in columns C, D, E, and F to enable both SI and English Units.</t>
  </si>
  <si>
    <t>CorrectID</t>
  </si>
  <si>
    <t>This agreement is governed by the laws of the State of Arkansas.</t>
  </si>
  <si>
    <t>Warren Design Vision via "van at wdv dot com".</t>
  </si>
  <si>
    <t>Contractor/manufacturer is Warren Design Vision™.</t>
  </si>
  <si>
    <t>Do not delete this worksheet.  It contains your activation ID.</t>
  </si>
  <si>
    <t>Activation ID:</t>
  </si>
  <si>
    <t xml:space="preserve">DFAR Contracter number </t>
  </si>
  <si>
    <t>290-167-0-25</t>
  </si>
  <si>
    <t>ID-290-167-13</t>
  </si>
  <si>
    <t xml:space="preserve"> Self weight, dead weight and body forces must be included by the user.</t>
  </si>
  <si>
    <t xml:space="preserve"> Verify your calculations using additional techniques, models, or methods.</t>
  </si>
  <si>
    <t>Simple - Dist. B</t>
  </si>
  <si>
    <t>Simple - Dist. A</t>
  </si>
  <si>
    <t>Sheet A Name</t>
  </si>
  <si>
    <t>Sheet B Name</t>
  </si>
  <si>
    <t>Input Two Sheet Names of Same Beam Type</t>
  </si>
  <si>
    <t>Sheet 1 Name</t>
  </si>
  <si>
    <t>Sheet 2 Name</t>
  </si>
  <si>
    <t>Premium Edition 3.0</t>
  </si>
  <si>
    <t>Always enter input in highlighted cells.</t>
  </si>
  <si>
    <t>Set your preferred system of units. You may change this at any time.</t>
  </si>
  <si>
    <t>1) Click here anytime to visit the BeamCalc web page.</t>
  </si>
  <si>
    <t>Name</t>
  </si>
  <si>
    <t>5) By activating and using the software you agree to all limitations, license agreeements and warranties below.</t>
  </si>
  <si>
    <t>This workbook will not function properly unless activated.</t>
  </si>
  <si>
    <t>Van Warren</t>
  </si>
  <si>
    <t>Cant. Conc. M</t>
  </si>
  <si>
    <t>Column Buckling</t>
  </si>
  <si>
    <t>Condition</t>
  </si>
  <si>
    <t>Both ends hinged.</t>
  </si>
  <si>
    <t>K</t>
  </si>
  <si>
    <t>K =</t>
  </si>
  <si>
    <t>Both ends fixed.</t>
  </si>
  <si>
    <t>One end fixed, one end hinged.</t>
  </si>
  <si>
    <t>One end fixed, one end free to move laterally.</t>
  </si>
  <si>
    <t>Percent of</t>
  </si>
  <si>
    <t>Buckling</t>
  </si>
  <si>
    <t>Critical</t>
  </si>
  <si>
    <t>Cant.-Dist.A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</si>
</sst>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[&gt;1000000000]0.0,,,;0.0,,"/>
    <numFmt numFmtId="168" formatCode="[&gt;2500000]0,,;0,"/>
    <numFmt numFmtId="169" formatCode="[&gt;220]0;0.000"/>
    <numFmt numFmtId="170" formatCode="[&gt;2500000]0.00,,;0.00,"/>
    <numFmt numFmtId="177" formatCode="_(* #,##0_);_(* \(#,##0\);_(* &quot;-&quot;??_);_(@_)"/>
  </numFmts>
  <fonts count="33">
    <font>
      <sz val="10"/>
      <name val="Geneva"/>
    </font>
    <font>
      <b/>
      <sz val="10"/>
      <name val="Geneva"/>
    </font>
    <font>
      <i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i/>
      <sz val="9"/>
      <name val="Geneva"/>
    </font>
    <font>
      <b/>
      <sz val="10"/>
      <name val="Symbol"/>
    </font>
    <font>
      <sz val="9"/>
      <name val="Geneva"/>
    </font>
    <font>
      <i/>
      <sz val="10"/>
      <color indexed="9"/>
      <name val="Geneva"/>
    </font>
    <font>
      <sz val="10"/>
      <color indexed="9"/>
      <name val="Geneva"/>
    </font>
    <font>
      <sz val="10"/>
      <color indexed="44"/>
      <name val="Geneva"/>
    </font>
    <font>
      <sz val="10"/>
      <color indexed="40"/>
      <name val="Geneva"/>
    </font>
    <font>
      <sz val="10"/>
      <color indexed="21"/>
      <name val="Geneva"/>
    </font>
    <font>
      <sz val="12"/>
      <name val="Geneva"/>
    </font>
    <font>
      <vertAlign val="subscript"/>
      <sz val="12"/>
      <name val="Geneva"/>
    </font>
    <font>
      <sz val="10"/>
      <color indexed="8"/>
      <name val="Geneva"/>
    </font>
    <font>
      <b/>
      <u/>
      <sz val="12"/>
      <name val="Geneva"/>
    </font>
    <font>
      <b/>
      <u/>
      <sz val="14"/>
      <name val="Geneva"/>
    </font>
    <font>
      <sz val="14"/>
      <name val="Geneva"/>
    </font>
    <font>
      <b/>
      <u/>
      <sz val="10"/>
      <name val="Geneva"/>
    </font>
    <font>
      <sz val="10"/>
      <color indexed="54"/>
      <name val="Geneva"/>
    </font>
    <font>
      <sz val="12"/>
      <color indexed="54"/>
      <name val="Geneva"/>
    </font>
    <font>
      <sz val="8"/>
      <name val="Geneva"/>
    </font>
    <font>
      <i/>
      <sz val="10"/>
      <color indexed="40"/>
      <name val="Geneva"/>
    </font>
    <font>
      <u/>
      <sz val="10"/>
      <color indexed="12"/>
      <name val="Geneva"/>
    </font>
    <font>
      <u/>
      <sz val="10"/>
      <color indexed="8"/>
      <name val="Geneva"/>
    </font>
    <font>
      <sz val="8"/>
      <color indexed="9"/>
      <name val="Geneva"/>
    </font>
    <font>
      <sz val="10"/>
      <color indexed="10"/>
      <name val="Geneva"/>
    </font>
    <font>
      <sz val="8"/>
      <color indexed="8"/>
      <name val="Geneva"/>
    </font>
    <font>
      <b/>
      <sz val="12"/>
      <color indexed="9"/>
      <name val="Geneva"/>
    </font>
    <font>
      <b/>
      <sz val="10"/>
      <color indexed="9"/>
      <name val="Geneva"/>
    </font>
    <font>
      <sz val="12"/>
      <color indexed="21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99CC99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1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66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66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3" fontId="0" fillId="0" borderId="0" xfId="0" applyNumberFormat="1" applyProtection="1"/>
    <xf numFmtId="0" fontId="2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165" fontId="0" fillId="0" borderId="0" xfId="0" applyNumberFormat="1" applyFill="1" applyBorder="1" applyProtection="1"/>
    <xf numFmtId="9" fontId="4" fillId="0" borderId="0" xfId="2" applyFill="1" applyBorder="1" applyAlignment="1" applyProtection="1">
      <alignment horizontal="right"/>
    </xf>
    <xf numFmtId="165" fontId="4" fillId="0" borderId="0" xfId="2" applyNumberFormat="1" applyFill="1" applyBorder="1" applyProtection="1"/>
    <xf numFmtId="2" fontId="0" fillId="0" borderId="0" xfId="0" applyNumberFormat="1" applyFill="1" applyBorder="1" applyAlignment="1" applyProtection="1">
      <alignment horizontal="right"/>
    </xf>
    <xf numFmtId="2" fontId="0" fillId="0" borderId="0" xfId="0" applyNumberFormat="1" applyFill="1" applyProtection="1"/>
    <xf numFmtId="1" fontId="0" fillId="0" borderId="0" xfId="0" applyNumberFormat="1" applyFill="1" applyProtection="1"/>
    <xf numFmtId="166" fontId="0" fillId="0" borderId="0" xfId="0" applyNumberFormat="1" applyFill="1" applyProtection="1"/>
    <xf numFmtId="0" fontId="0" fillId="3" borderId="23" xfId="0" applyNumberFormat="1" applyFill="1" applyBorder="1" applyProtection="1">
      <protection hidden="1"/>
    </xf>
    <xf numFmtId="0" fontId="1" fillId="3" borderId="18" xfId="0" applyNumberFormat="1" applyFont="1" applyFill="1" applyBorder="1" applyAlignment="1" applyProtection="1">
      <alignment horizontal="right"/>
      <protection hidden="1"/>
    </xf>
    <xf numFmtId="0" fontId="4" fillId="3" borderId="24" xfId="0" applyNumberFormat="1" applyFont="1" applyFill="1" applyBorder="1" applyAlignment="1" applyProtection="1">
      <alignment horizontal="right"/>
      <protection hidden="1"/>
    </xf>
    <xf numFmtId="0" fontId="4" fillId="3" borderId="25" xfId="0" applyNumberFormat="1" applyFont="1" applyFill="1" applyBorder="1" applyAlignment="1" applyProtection="1">
      <alignment horizontal="right"/>
      <protection hidden="1"/>
    </xf>
    <xf numFmtId="0" fontId="4" fillId="3" borderId="26" xfId="0" applyNumberFormat="1" applyFont="1" applyFill="1" applyBorder="1" applyAlignment="1" applyProtection="1">
      <alignment horizontal="right"/>
      <protection hidden="1"/>
    </xf>
    <xf numFmtId="0" fontId="0" fillId="3" borderId="27" xfId="0" applyNumberFormat="1" applyFill="1" applyBorder="1" applyProtection="1">
      <protection hidden="1"/>
    </xf>
    <xf numFmtId="0" fontId="1" fillId="3" borderId="0" xfId="0" applyNumberFormat="1" applyFont="1" applyFill="1" applyBorder="1" applyAlignment="1" applyProtection="1">
      <alignment horizontal="right"/>
      <protection hidden="1"/>
    </xf>
    <xf numFmtId="0" fontId="4" fillId="3" borderId="28" xfId="0" applyNumberFormat="1" applyFont="1" applyFill="1" applyBorder="1" applyAlignment="1" applyProtection="1">
      <alignment horizontal="right"/>
      <protection hidden="1"/>
    </xf>
    <xf numFmtId="0" fontId="4" fillId="3" borderId="19" xfId="0" applyNumberFormat="1" applyFont="1" applyFill="1" applyBorder="1" applyAlignment="1" applyProtection="1">
      <alignment horizontal="right"/>
      <protection hidden="1"/>
    </xf>
    <xf numFmtId="0" fontId="4" fillId="3" borderId="29" xfId="0" applyNumberFormat="1" applyFont="1" applyFill="1" applyBorder="1" applyAlignment="1" applyProtection="1">
      <alignment horizontal="right"/>
      <protection hidden="1"/>
    </xf>
    <xf numFmtId="0" fontId="0" fillId="3" borderId="30" xfId="0" applyNumberFormat="1" applyFill="1" applyBorder="1" applyProtection="1">
      <protection hidden="1"/>
    </xf>
    <xf numFmtId="0" fontId="1" fillId="3" borderId="31" xfId="0" applyNumberFormat="1" applyFont="1" applyFill="1" applyBorder="1" applyAlignment="1" applyProtection="1">
      <alignment horizontal="right"/>
      <protection hidden="1"/>
    </xf>
    <xf numFmtId="0" fontId="0" fillId="3" borderId="32" xfId="0" applyNumberFormat="1" applyFill="1" applyBorder="1" applyAlignment="1" applyProtection="1">
      <alignment horizontal="right"/>
      <protection hidden="1"/>
    </xf>
    <xf numFmtId="0" fontId="0" fillId="3" borderId="31" xfId="0" applyNumberFormat="1" applyFill="1" applyBorder="1" applyAlignment="1" applyProtection="1">
      <alignment horizontal="right"/>
      <protection hidden="1"/>
    </xf>
    <xf numFmtId="0" fontId="0" fillId="3" borderId="33" xfId="0" applyNumberFormat="1" applyFill="1" applyBorder="1" applyAlignment="1" applyProtection="1">
      <alignment horizontal="right"/>
      <protection hidden="1"/>
    </xf>
    <xf numFmtId="0" fontId="0" fillId="3" borderId="0" xfId="0" applyNumberFormat="1" applyFill="1" applyBorder="1" applyProtection="1">
      <protection hidden="1"/>
    </xf>
    <xf numFmtId="0" fontId="0" fillId="3" borderId="34" xfId="0" applyNumberFormat="1" applyFill="1" applyBorder="1" applyProtection="1">
      <protection hidden="1"/>
    </xf>
    <xf numFmtId="0" fontId="0" fillId="3" borderId="3" xfId="0" applyNumberFormat="1" applyFill="1" applyBorder="1" applyProtection="1">
      <protection hidden="1"/>
    </xf>
    <xf numFmtId="0" fontId="0" fillId="3" borderId="31" xfId="0" applyNumberFormat="1" applyFill="1" applyBorder="1" applyProtection="1">
      <protection hidden="1"/>
    </xf>
    <xf numFmtId="0" fontId="0" fillId="3" borderId="32" xfId="0" applyNumberFormat="1" applyFill="1" applyBorder="1" applyProtection="1">
      <protection hidden="1"/>
    </xf>
    <xf numFmtId="0" fontId="0" fillId="3" borderId="33" xfId="0" applyNumberFormat="1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0" fillId="3" borderId="35" xfId="0" applyFill="1" applyBorder="1" applyProtection="1">
      <protection hidden="1"/>
    </xf>
    <xf numFmtId="0" fontId="5" fillId="3" borderId="36" xfId="0" applyFont="1" applyFill="1" applyBorder="1" applyAlignment="1" applyProtection="1">
      <alignment horizontal="center"/>
      <protection hidden="1"/>
    </xf>
    <xf numFmtId="0" fontId="0" fillId="3" borderId="37" xfId="0" applyFill="1" applyBorder="1" applyProtection="1">
      <protection hidden="1"/>
    </xf>
    <xf numFmtId="0" fontId="5" fillId="3" borderId="23" xfId="0" applyFont="1" applyFill="1" applyBorder="1" applyAlignment="1" applyProtection="1">
      <alignment horizontal="left"/>
      <protection hidden="1"/>
    </xf>
    <xf numFmtId="0" fontId="5" fillId="3" borderId="18" xfId="0" applyFont="1" applyFill="1" applyBorder="1" applyAlignment="1" applyProtection="1">
      <alignment horizontal="center"/>
      <protection hidden="1"/>
    </xf>
    <xf numFmtId="0" fontId="0" fillId="3" borderId="13" xfId="0" applyFill="1" applyBorder="1" applyProtection="1">
      <protection hidden="1"/>
    </xf>
    <xf numFmtId="0" fontId="1" fillId="3" borderId="23" xfId="0" applyNumberFormat="1" applyFont="1" applyFill="1" applyBorder="1" applyAlignment="1" applyProtection="1">
      <alignment horizontal="center"/>
      <protection hidden="1"/>
    </xf>
    <xf numFmtId="0" fontId="1" fillId="3" borderId="18" xfId="0" applyNumberFormat="1" applyFont="1" applyFill="1" applyBorder="1" applyAlignment="1" applyProtection="1">
      <alignment horizontal="center"/>
      <protection hidden="1"/>
    </xf>
    <xf numFmtId="0" fontId="1" fillId="3" borderId="38" xfId="0" applyNumberFormat="1" applyFont="1" applyFill="1" applyBorder="1" applyAlignment="1" applyProtection="1">
      <alignment horizontal="center"/>
      <protection hidden="1"/>
    </xf>
    <xf numFmtId="0" fontId="1" fillId="3" borderId="13" xfId="0" applyNumberFormat="1" applyFont="1" applyFill="1" applyBorder="1" applyAlignment="1" applyProtection="1">
      <alignment horizontal="center"/>
      <protection hidden="1"/>
    </xf>
    <xf numFmtId="0" fontId="0" fillId="3" borderId="30" xfId="0" applyFill="1" applyBorder="1" applyProtection="1">
      <protection hidden="1"/>
    </xf>
    <xf numFmtId="0" fontId="5" fillId="3" borderId="31" xfId="0" applyFont="1" applyFill="1" applyBorder="1" applyAlignment="1" applyProtection="1">
      <alignment horizontal="center"/>
      <protection hidden="1"/>
    </xf>
    <xf numFmtId="0" fontId="0" fillId="3" borderId="33" xfId="0" applyFill="1" applyBorder="1" applyProtection="1">
      <protection hidden="1"/>
    </xf>
    <xf numFmtId="0" fontId="1" fillId="3" borderId="39" xfId="0" applyNumberFormat="1" applyFont="1" applyFill="1" applyBorder="1" applyAlignment="1" applyProtection="1">
      <alignment horizontal="center"/>
      <protection hidden="1"/>
    </xf>
    <xf numFmtId="0" fontId="1" fillId="3" borderId="21" xfId="0" applyNumberFormat="1" applyFont="1" applyFill="1" applyBorder="1" applyAlignment="1" applyProtection="1">
      <alignment horizontal="center"/>
      <protection hidden="1"/>
    </xf>
    <xf numFmtId="0" fontId="1" fillId="3" borderId="40" xfId="0" applyNumberFormat="1" applyFont="1" applyFill="1" applyBorder="1" applyAlignment="1" applyProtection="1">
      <alignment horizontal="center"/>
      <protection hidden="1"/>
    </xf>
    <xf numFmtId="0" fontId="0" fillId="3" borderId="21" xfId="0" applyNumberFormat="1" applyFill="1" applyBorder="1" applyProtection="1">
      <protection hidden="1"/>
    </xf>
    <xf numFmtId="0" fontId="1" fillId="3" borderId="16" xfId="0" applyNumberFormat="1" applyFont="1" applyFill="1" applyBorder="1" applyAlignment="1" applyProtection="1">
      <alignment horizontal="center"/>
      <protection hidden="1"/>
    </xf>
    <xf numFmtId="0" fontId="1" fillId="3" borderId="23" xfId="0" applyFont="1" applyFill="1" applyBorder="1" applyAlignment="1" applyProtection="1">
      <alignment horizontal="center"/>
      <protection hidden="1"/>
    </xf>
    <xf numFmtId="0" fontId="1" fillId="3" borderId="18" xfId="0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1" fillId="3" borderId="30" xfId="0" applyNumberFormat="1" applyFont="1" applyFill="1" applyBorder="1" applyAlignment="1" applyProtection="1">
      <alignment horizontal="center"/>
      <protection hidden="1"/>
    </xf>
    <xf numFmtId="0" fontId="0" fillId="3" borderId="31" xfId="0" applyNumberFormat="1" applyFill="1" applyBorder="1" applyAlignment="1" applyProtection="1">
      <alignment horizontal="center"/>
      <protection hidden="1"/>
    </xf>
    <xf numFmtId="0" fontId="0" fillId="3" borderId="32" xfId="0" applyNumberFormat="1" applyFill="1" applyBorder="1" applyAlignment="1" applyProtection="1">
      <alignment horizontal="center"/>
      <protection hidden="1"/>
    </xf>
    <xf numFmtId="0" fontId="0" fillId="3" borderId="33" xfId="0" applyNumberFormat="1" applyFill="1" applyBorder="1" applyAlignment="1" applyProtection="1">
      <alignment horizontal="center"/>
      <protection hidden="1"/>
    </xf>
    <xf numFmtId="0" fontId="1" fillId="3" borderId="30" xfId="0" applyFont="1" applyFill="1" applyBorder="1" applyAlignment="1" applyProtection="1">
      <alignment horizontal="center"/>
      <protection hidden="1"/>
    </xf>
    <xf numFmtId="0" fontId="0" fillId="3" borderId="31" xfId="0" applyFill="1" applyBorder="1" applyAlignment="1" applyProtection="1">
      <alignment horizontal="center"/>
      <protection hidden="1"/>
    </xf>
    <xf numFmtId="0" fontId="1" fillId="3" borderId="33" xfId="0" applyFont="1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0" fillId="3" borderId="23" xfId="0" applyFill="1" applyBorder="1" applyProtection="1">
      <protection hidden="1"/>
    </xf>
    <xf numFmtId="0" fontId="4" fillId="3" borderId="30" xfId="0" applyFont="1" applyFill="1" applyBorder="1" applyAlignment="1" applyProtection="1">
      <alignment horizontal="center"/>
      <protection hidden="1"/>
    </xf>
    <xf numFmtId="0" fontId="4" fillId="3" borderId="31" xfId="0" applyFont="1" applyFill="1" applyBorder="1" applyAlignment="1" applyProtection="1">
      <alignment horizontal="center"/>
      <protection hidden="1"/>
    </xf>
    <xf numFmtId="0" fontId="4" fillId="3" borderId="33" xfId="0" applyFont="1" applyFill="1" applyBorder="1" applyAlignment="1" applyProtection="1">
      <alignment horizontal="center"/>
      <protection hidden="1"/>
    </xf>
    <xf numFmtId="0" fontId="4" fillId="4" borderId="41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right"/>
      <protection hidden="1"/>
    </xf>
    <xf numFmtId="2" fontId="0" fillId="4" borderId="42" xfId="0" applyNumberFormat="1" applyFill="1" applyBorder="1" applyAlignment="1" applyProtection="1">
      <alignment horizontal="center"/>
      <protection hidden="1"/>
    </xf>
    <xf numFmtId="0" fontId="1" fillId="4" borderId="42" xfId="0" applyNumberFormat="1" applyFont="1" applyFill="1" applyBorder="1" applyAlignment="1" applyProtection="1">
      <alignment horizontal="center"/>
      <protection hidden="1"/>
    </xf>
    <xf numFmtId="0" fontId="0" fillId="4" borderId="43" xfId="0" applyFill="1" applyBorder="1" applyAlignment="1" applyProtection="1">
      <alignment horizontal="center"/>
      <protection hidden="1"/>
    </xf>
    <xf numFmtId="9" fontId="0" fillId="4" borderId="43" xfId="0" applyNumberFormat="1" applyFill="1" applyBorder="1" applyAlignment="1" applyProtection="1">
      <alignment horizontal="center"/>
      <protection hidden="1"/>
    </xf>
    <xf numFmtId="9" fontId="0" fillId="4" borderId="42" xfId="0" applyNumberForma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right"/>
      <protection hidden="1"/>
    </xf>
    <xf numFmtId="0" fontId="0" fillId="4" borderId="41" xfId="0" applyFill="1" applyBorder="1" applyAlignment="1" applyProtection="1">
      <alignment horizontal="center"/>
      <protection hidden="1"/>
    </xf>
    <xf numFmtId="0" fontId="16" fillId="4" borderId="41" xfId="0" applyFont="1" applyFill="1" applyBorder="1" applyAlignment="1" applyProtection="1">
      <alignment horizontal="center"/>
      <protection hidden="1"/>
    </xf>
    <xf numFmtId="0" fontId="4" fillId="4" borderId="42" xfId="0" applyFont="1" applyFill="1" applyBorder="1" applyAlignment="1" applyProtection="1">
      <alignment horizontal="center"/>
      <protection hidden="1"/>
    </xf>
    <xf numFmtId="0" fontId="16" fillId="4" borderId="42" xfId="0" applyFont="1" applyFill="1" applyBorder="1" applyAlignment="1" applyProtection="1">
      <alignment horizontal="center"/>
      <protection hidden="1"/>
    </xf>
    <xf numFmtId="0" fontId="16" fillId="4" borderId="43" xfId="0" applyFont="1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NumberFormat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right"/>
      <protection hidden="1"/>
    </xf>
    <xf numFmtId="0" fontId="0" fillId="3" borderId="23" xfId="0" applyFill="1" applyBorder="1" applyAlignment="1" applyProtection="1">
      <alignment horizontal="right"/>
      <protection hidden="1"/>
    </xf>
    <xf numFmtId="0" fontId="0" fillId="3" borderId="18" xfId="0" applyFill="1" applyBorder="1" applyAlignment="1" applyProtection="1">
      <alignment horizontal="right"/>
      <protection hidden="1"/>
    </xf>
    <xf numFmtId="0" fontId="0" fillId="3" borderId="27" xfId="0" applyFill="1" applyBorder="1" applyAlignment="1" applyProtection="1">
      <alignment horizontal="right"/>
      <protection hidden="1"/>
    </xf>
    <xf numFmtId="0" fontId="1" fillId="3" borderId="0" xfId="0" applyFont="1" applyFill="1" applyBorder="1" applyAlignment="1" applyProtection="1">
      <alignment horizontal="centerContinuous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1" fillId="3" borderId="31" xfId="0" applyFont="1" applyFill="1" applyBorder="1" applyAlignment="1" applyProtection="1">
      <alignment horizontal="centerContinuous"/>
      <protection hidden="1"/>
    </xf>
    <xf numFmtId="0" fontId="5" fillId="3" borderId="35" xfId="0" applyFont="1" applyFill="1" applyBorder="1" applyAlignment="1" applyProtection="1">
      <alignment horizontal="left"/>
      <protection hidden="1"/>
    </xf>
    <xf numFmtId="0" fontId="0" fillId="3" borderId="36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1" fillId="3" borderId="27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3" borderId="44" xfId="0" applyFont="1" applyFill="1" applyBorder="1" applyAlignment="1" applyProtection="1">
      <alignment horizont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1" fillId="3" borderId="45" xfId="0" applyFont="1" applyFill="1" applyBorder="1" applyAlignment="1" applyProtection="1">
      <alignment horizontal="center"/>
      <protection hidden="1"/>
    </xf>
    <xf numFmtId="0" fontId="1" fillId="3" borderId="46" xfId="0" applyFont="1" applyFill="1" applyBorder="1" applyAlignment="1" applyProtection="1">
      <alignment horizontal="center"/>
      <protection hidden="1"/>
    </xf>
    <xf numFmtId="0" fontId="0" fillId="3" borderId="44" xfId="0" applyFill="1" applyBorder="1" applyAlignment="1" applyProtection="1">
      <alignment horizontal="center"/>
      <protection hidden="1"/>
    </xf>
    <xf numFmtId="0" fontId="4" fillId="3" borderId="45" xfId="0" applyFont="1" applyFill="1" applyBorder="1" applyAlignment="1" applyProtection="1">
      <alignment horizontal="center"/>
      <protection hidden="1"/>
    </xf>
    <xf numFmtId="0" fontId="0" fillId="3" borderId="45" xfId="0" applyFill="1" applyBorder="1" applyAlignment="1" applyProtection="1">
      <alignment horizontal="center"/>
      <protection hidden="1"/>
    </xf>
    <xf numFmtId="0" fontId="0" fillId="3" borderId="46" xfId="0" applyFill="1" applyBorder="1" applyAlignment="1" applyProtection="1">
      <alignment horizontal="center"/>
      <protection hidden="1"/>
    </xf>
    <xf numFmtId="2" fontId="1" fillId="3" borderId="7" xfId="0" applyNumberFormat="1" applyFont="1" applyFill="1" applyBorder="1" applyAlignment="1" applyProtection="1">
      <alignment horizontal="center"/>
      <protection hidden="1"/>
    </xf>
    <xf numFmtId="166" fontId="1" fillId="3" borderId="7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right"/>
      <protection hidden="1"/>
    </xf>
    <xf numFmtId="1" fontId="0" fillId="3" borderId="0" xfId="0" applyNumberFormat="1" applyFill="1" applyProtection="1"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21" fillId="4" borderId="0" xfId="0" applyFont="1" applyFill="1" applyAlignment="1" applyProtection="1">
      <alignment horizontal="right"/>
      <protection hidden="1"/>
    </xf>
    <xf numFmtId="0" fontId="21" fillId="4" borderId="0" xfId="0" applyFont="1" applyFill="1" applyProtection="1">
      <protection hidden="1"/>
    </xf>
    <xf numFmtId="0" fontId="14" fillId="4" borderId="0" xfId="0" applyFont="1" applyFill="1" applyAlignment="1" applyProtection="1">
      <alignment horizontal="right"/>
      <protection hidden="1"/>
    </xf>
    <xf numFmtId="2" fontId="0" fillId="4" borderId="0" xfId="0" applyNumberFormat="1" applyFill="1" applyBorder="1" applyProtection="1">
      <protection hidden="1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66" fontId="1" fillId="3" borderId="7" xfId="0" applyNumberFormat="1" applyFon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hidden="1"/>
    </xf>
    <xf numFmtId="167" fontId="0" fillId="5" borderId="0" xfId="0" applyNumberFormat="1" applyFill="1" applyProtection="1">
      <protection hidden="1"/>
    </xf>
    <xf numFmtId="168" fontId="0" fillId="5" borderId="0" xfId="0" applyNumberFormat="1" applyFill="1" applyProtection="1">
      <protection hidden="1"/>
    </xf>
    <xf numFmtId="169" fontId="0" fillId="5" borderId="2" xfId="0" applyNumberFormat="1" applyFill="1" applyBorder="1" applyProtection="1">
      <protection hidden="1"/>
    </xf>
    <xf numFmtId="3" fontId="0" fillId="5" borderId="2" xfId="0" applyNumberFormat="1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51" xfId="0" applyFill="1" applyBorder="1" applyAlignment="1" applyProtection="1">
      <alignment horizontal="center"/>
      <protection hidden="1"/>
    </xf>
    <xf numFmtId="167" fontId="0" fillId="5" borderId="31" xfId="0" applyNumberFormat="1" applyFill="1" applyBorder="1" applyProtection="1">
      <protection hidden="1"/>
    </xf>
    <xf numFmtId="168" fontId="0" fillId="5" borderId="31" xfId="0" applyNumberFormat="1" applyFill="1" applyBorder="1" applyProtection="1">
      <protection hidden="1"/>
    </xf>
    <xf numFmtId="169" fontId="0" fillId="5" borderId="50" xfId="0" applyNumberFormat="1" applyFill="1" applyBorder="1" applyProtection="1">
      <protection hidden="1"/>
    </xf>
    <xf numFmtId="3" fontId="0" fillId="5" borderId="50" xfId="0" applyNumberFormat="1" applyFill="1" applyBorder="1" applyProtection="1">
      <protection hidden="1"/>
    </xf>
    <xf numFmtId="0" fontId="0" fillId="5" borderId="33" xfId="0" applyFill="1" applyBorder="1" applyAlignment="1" applyProtection="1">
      <alignment horizontal="left"/>
      <protection hidden="1"/>
    </xf>
    <xf numFmtId="0" fontId="0" fillId="6" borderId="9" xfId="0" applyFill="1" applyBorder="1" applyAlignment="1" applyProtection="1">
      <alignment horizontal="left"/>
      <protection hidden="1"/>
    </xf>
    <xf numFmtId="167" fontId="0" fillId="6" borderId="0" xfId="0" applyNumberFormat="1" applyFill="1" applyProtection="1">
      <protection hidden="1"/>
    </xf>
    <xf numFmtId="168" fontId="0" fillId="6" borderId="0" xfId="0" applyNumberFormat="1" applyFill="1" applyProtection="1">
      <protection hidden="1"/>
    </xf>
    <xf numFmtId="169" fontId="0" fillId="6" borderId="2" xfId="0" applyNumberFormat="1" applyFill="1" applyBorder="1" applyProtection="1">
      <protection hidden="1"/>
    </xf>
    <xf numFmtId="3" fontId="0" fillId="6" borderId="2" xfId="0" applyNumberFormat="1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3" xfId="0" applyFill="1" applyBorder="1" applyAlignment="1" applyProtection="1">
      <alignment horizontal="left"/>
      <protection hidden="1"/>
    </xf>
    <xf numFmtId="0" fontId="0" fillId="6" borderId="51" xfId="0" applyFill="1" applyBorder="1" applyAlignment="1" applyProtection="1">
      <alignment horizontal="left"/>
      <protection hidden="1"/>
    </xf>
    <xf numFmtId="167" fontId="0" fillId="6" borderId="31" xfId="0" applyNumberFormat="1" applyFill="1" applyBorder="1" applyProtection="1">
      <protection hidden="1"/>
    </xf>
    <xf numFmtId="168" fontId="0" fillId="6" borderId="31" xfId="0" applyNumberFormat="1" applyFill="1" applyBorder="1" applyProtection="1">
      <protection hidden="1"/>
    </xf>
    <xf numFmtId="169" fontId="0" fillId="6" borderId="50" xfId="0" applyNumberFormat="1" applyFill="1" applyBorder="1" applyProtection="1">
      <protection hidden="1"/>
    </xf>
    <xf numFmtId="3" fontId="0" fillId="6" borderId="50" xfId="0" applyNumberFormat="1" applyFill="1" applyBorder="1" applyProtection="1">
      <protection hidden="1"/>
    </xf>
    <xf numFmtId="0" fontId="0" fillId="6" borderId="33" xfId="0" applyFill="1" applyBorder="1" applyAlignment="1" applyProtection="1">
      <alignment horizontal="left"/>
      <protection hidden="1"/>
    </xf>
    <xf numFmtId="0" fontId="2" fillId="7" borderId="9" xfId="0" applyFont="1" applyFill="1" applyBorder="1" applyAlignment="1" applyProtection="1">
      <alignment horizontal="center"/>
      <protection hidden="1"/>
    </xf>
    <xf numFmtId="167" fontId="0" fillId="7" borderId="0" xfId="0" applyNumberFormat="1" applyFill="1" applyProtection="1">
      <protection hidden="1"/>
    </xf>
    <xf numFmtId="168" fontId="0" fillId="7" borderId="0" xfId="0" applyNumberFormat="1" applyFill="1" applyProtection="1">
      <protection hidden="1"/>
    </xf>
    <xf numFmtId="169" fontId="0" fillId="7" borderId="2" xfId="0" applyNumberFormat="1" applyFill="1" applyBorder="1" applyProtection="1">
      <protection hidden="1"/>
    </xf>
    <xf numFmtId="3" fontId="0" fillId="7" borderId="2" xfId="0" applyNumberFormat="1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7" borderId="9" xfId="0" applyFill="1" applyBorder="1" applyAlignment="1" applyProtection="1">
      <alignment horizontal="left"/>
      <protection hidden="1"/>
    </xf>
    <xf numFmtId="0" fontId="0" fillId="7" borderId="51" xfId="0" applyFill="1" applyBorder="1" applyAlignment="1" applyProtection="1">
      <alignment horizontal="left"/>
      <protection hidden="1"/>
    </xf>
    <xf numFmtId="167" fontId="0" fillId="7" borderId="31" xfId="0" applyNumberFormat="1" applyFill="1" applyBorder="1" applyProtection="1">
      <protection hidden="1"/>
    </xf>
    <xf numFmtId="168" fontId="0" fillId="7" borderId="31" xfId="0" applyNumberFormat="1" applyFill="1" applyBorder="1" applyProtection="1">
      <protection hidden="1"/>
    </xf>
    <xf numFmtId="169" fontId="0" fillId="7" borderId="50" xfId="0" applyNumberFormat="1" applyFill="1" applyBorder="1" applyProtection="1">
      <protection hidden="1"/>
    </xf>
    <xf numFmtId="3" fontId="0" fillId="7" borderId="50" xfId="0" applyNumberFormat="1" applyFill="1" applyBorder="1" applyProtection="1">
      <protection hidden="1"/>
    </xf>
    <xf numFmtId="0" fontId="0" fillId="7" borderId="33" xfId="0" applyFill="1" applyBorder="1" applyAlignment="1" applyProtection="1">
      <alignment horizontal="left"/>
      <protection hidden="1"/>
    </xf>
    <xf numFmtId="0" fontId="2" fillId="8" borderId="9" xfId="0" applyFont="1" applyFill="1" applyBorder="1" applyAlignment="1" applyProtection="1">
      <alignment horizontal="center"/>
      <protection hidden="1"/>
    </xf>
    <xf numFmtId="167" fontId="0" fillId="8" borderId="0" xfId="0" applyNumberFormat="1" applyFill="1" applyProtection="1">
      <protection hidden="1"/>
    </xf>
    <xf numFmtId="168" fontId="0" fillId="8" borderId="0" xfId="0" applyNumberFormat="1" applyFill="1" applyProtection="1">
      <protection hidden="1"/>
    </xf>
    <xf numFmtId="169" fontId="0" fillId="8" borderId="2" xfId="0" applyNumberFormat="1" applyFill="1" applyBorder="1" applyProtection="1">
      <protection hidden="1"/>
    </xf>
    <xf numFmtId="3" fontId="0" fillId="8" borderId="2" xfId="0" applyNumberFormat="1" applyFill="1" applyBorder="1" applyProtection="1">
      <protection hidden="1"/>
    </xf>
    <xf numFmtId="0" fontId="0" fillId="8" borderId="3" xfId="0" applyFill="1" applyBorder="1" applyProtection="1">
      <protection hidden="1"/>
    </xf>
    <xf numFmtId="0" fontId="0" fillId="8" borderId="9" xfId="0" applyFill="1" applyBorder="1" applyAlignment="1" applyProtection="1">
      <alignment horizontal="left"/>
      <protection hidden="1"/>
    </xf>
    <xf numFmtId="0" fontId="0" fillId="8" borderId="51" xfId="0" applyFill="1" applyBorder="1" applyAlignment="1" applyProtection="1">
      <alignment horizontal="left"/>
      <protection hidden="1"/>
    </xf>
    <xf numFmtId="167" fontId="0" fillId="8" borderId="31" xfId="0" applyNumberFormat="1" applyFill="1" applyBorder="1" applyProtection="1">
      <protection hidden="1"/>
    </xf>
    <xf numFmtId="168" fontId="0" fillId="8" borderId="31" xfId="0" applyNumberFormat="1" applyFill="1" applyBorder="1" applyProtection="1">
      <protection hidden="1"/>
    </xf>
    <xf numFmtId="169" fontId="0" fillId="8" borderId="50" xfId="0" applyNumberFormat="1" applyFill="1" applyBorder="1" applyProtection="1">
      <protection hidden="1"/>
    </xf>
    <xf numFmtId="3" fontId="0" fillId="8" borderId="50" xfId="0" applyNumberFormat="1" applyFill="1" applyBorder="1" applyProtection="1">
      <protection hidden="1"/>
    </xf>
    <xf numFmtId="0" fontId="0" fillId="8" borderId="33" xfId="0" applyFill="1" applyBorder="1" applyAlignment="1" applyProtection="1">
      <alignment horizontal="left"/>
      <protection hidden="1"/>
    </xf>
    <xf numFmtId="0" fontId="0" fillId="9" borderId="9" xfId="0" applyFill="1" applyBorder="1" applyAlignment="1" applyProtection="1">
      <alignment horizontal="left"/>
      <protection hidden="1"/>
    </xf>
    <xf numFmtId="167" fontId="0" fillId="9" borderId="0" xfId="0" applyNumberFormat="1" applyFill="1" applyProtection="1">
      <protection hidden="1"/>
    </xf>
    <xf numFmtId="168" fontId="0" fillId="9" borderId="0" xfId="0" applyNumberFormat="1" applyFill="1" applyProtection="1">
      <protection hidden="1"/>
    </xf>
    <xf numFmtId="169" fontId="0" fillId="9" borderId="2" xfId="0" applyNumberFormat="1" applyFill="1" applyBorder="1" applyProtection="1">
      <protection hidden="1"/>
    </xf>
    <xf numFmtId="3" fontId="0" fillId="9" borderId="2" xfId="0" applyNumberFormat="1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9" borderId="51" xfId="0" applyFill="1" applyBorder="1" applyAlignment="1" applyProtection="1">
      <alignment horizontal="left"/>
      <protection hidden="1"/>
    </xf>
    <xf numFmtId="167" fontId="0" fillId="9" borderId="31" xfId="0" applyNumberFormat="1" applyFill="1" applyBorder="1" applyProtection="1">
      <protection hidden="1"/>
    </xf>
    <xf numFmtId="168" fontId="0" fillId="9" borderId="31" xfId="0" applyNumberFormat="1" applyFill="1" applyBorder="1" applyProtection="1">
      <protection hidden="1"/>
    </xf>
    <xf numFmtId="169" fontId="0" fillId="9" borderId="50" xfId="0" applyNumberFormat="1" applyFill="1" applyBorder="1" applyProtection="1">
      <protection hidden="1"/>
    </xf>
    <xf numFmtId="3" fontId="0" fillId="9" borderId="50" xfId="0" applyNumberFormat="1" applyFill="1" applyBorder="1" applyProtection="1">
      <protection hidden="1"/>
    </xf>
    <xf numFmtId="0" fontId="0" fillId="9" borderId="33" xfId="0" applyFill="1" applyBorder="1" applyAlignment="1" applyProtection="1">
      <alignment horizontal="left"/>
      <protection hidden="1"/>
    </xf>
    <xf numFmtId="0" fontId="0" fillId="10" borderId="9" xfId="0" applyFill="1" applyBorder="1" applyAlignment="1" applyProtection="1">
      <alignment horizontal="left"/>
      <protection hidden="1"/>
    </xf>
    <xf numFmtId="167" fontId="0" fillId="10" borderId="0" xfId="0" applyNumberFormat="1" applyFill="1" applyProtection="1">
      <protection hidden="1"/>
    </xf>
    <xf numFmtId="168" fontId="0" fillId="10" borderId="0" xfId="0" applyNumberFormat="1" applyFill="1" applyProtection="1">
      <protection hidden="1"/>
    </xf>
    <xf numFmtId="169" fontId="0" fillId="10" borderId="2" xfId="0" applyNumberFormat="1" applyFill="1" applyBorder="1" applyProtection="1">
      <protection hidden="1"/>
    </xf>
    <xf numFmtId="3" fontId="0" fillId="10" borderId="2" xfId="0" applyNumberFormat="1" applyFill="1" applyBorder="1" applyProtection="1">
      <protection hidden="1"/>
    </xf>
    <xf numFmtId="0" fontId="0" fillId="10" borderId="3" xfId="0" applyFill="1" applyBorder="1" applyProtection="1">
      <protection hidden="1"/>
    </xf>
    <xf numFmtId="0" fontId="0" fillId="10" borderId="51" xfId="0" applyFill="1" applyBorder="1" applyAlignment="1" applyProtection="1">
      <alignment horizontal="left"/>
      <protection hidden="1"/>
    </xf>
    <xf numFmtId="167" fontId="0" fillId="10" borderId="31" xfId="0" applyNumberFormat="1" applyFill="1" applyBorder="1" applyProtection="1">
      <protection hidden="1"/>
    </xf>
    <xf numFmtId="168" fontId="0" fillId="10" borderId="31" xfId="0" applyNumberFormat="1" applyFill="1" applyBorder="1" applyProtection="1">
      <protection hidden="1"/>
    </xf>
    <xf numFmtId="169" fontId="0" fillId="10" borderId="50" xfId="0" applyNumberFormat="1" applyFill="1" applyBorder="1" applyProtection="1">
      <protection hidden="1"/>
    </xf>
    <xf numFmtId="3" fontId="0" fillId="10" borderId="50" xfId="0" applyNumberFormat="1" applyFill="1" applyBorder="1" applyProtection="1">
      <protection hidden="1"/>
    </xf>
    <xf numFmtId="0" fontId="0" fillId="10" borderId="33" xfId="0" applyFill="1" applyBorder="1" applyAlignment="1" applyProtection="1">
      <alignment horizontal="left"/>
      <protection hidden="1"/>
    </xf>
    <xf numFmtId="0" fontId="0" fillId="11" borderId="9" xfId="0" applyFill="1" applyBorder="1" applyAlignment="1" applyProtection="1">
      <alignment horizontal="left"/>
      <protection hidden="1"/>
    </xf>
    <xf numFmtId="0" fontId="0" fillId="11" borderId="51" xfId="0" applyFill="1" applyBorder="1" applyAlignment="1" applyProtection="1">
      <alignment horizontal="left"/>
      <protection hidden="1"/>
    </xf>
    <xf numFmtId="0" fontId="0" fillId="12" borderId="9" xfId="0" applyFill="1" applyBorder="1" applyAlignment="1" applyProtection="1">
      <alignment horizontal="left"/>
      <protection hidden="1"/>
    </xf>
    <xf numFmtId="167" fontId="0" fillId="12" borderId="0" xfId="0" applyNumberFormat="1" applyFill="1" applyProtection="1">
      <protection hidden="1"/>
    </xf>
    <xf numFmtId="170" fontId="0" fillId="12" borderId="0" xfId="0" applyNumberFormat="1" applyFill="1" applyProtection="1">
      <protection hidden="1"/>
    </xf>
    <xf numFmtId="169" fontId="0" fillId="12" borderId="2" xfId="0" applyNumberFormat="1" applyFill="1" applyBorder="1" applyProtection="1">
      <protection hidden="1"/>
    </xf>
    <xf numFmtId="3" fontId="0" fillId="12" borderId="2" xfId="0" applyNumberFormat="1" applyFill="1" applyBorder="1" applyProtection="1">
      <protection hidden="1"/>
    </xf>
    <xf numFmtId="0" fontId="0" fillId="12" borderId="3" xfId="0" applyFill="1" applyBorder="1" applyProtection="1">
      <protection hidden="1"/>
    </xf>
    <xf numFmtId="0" fontId="0" fillId="12" borderId="51" xfId="0" applyFill="1" applyBorder="1" applyAlignment="1" applyProtection="1">
      <alignment horizontal="left"/>
      <protection hidden="1"/>
    </xf>
    <xf numFmtId="167" fontId="0" fillId="12" borderId="31" xfId="0" applyNumberFormat="1" applyFill="1" applyBorder="1" applyProtection="1">
      <protection hidden="1"/>
    </xf>
    <xf numFmtId="170" fontId="0" fillId="12" borderId="31" xfId="0" applyNumberFormat="1" applyFill="1" applyBorder="1" applyProtection="1">
      <protection hidden="1"/>
    </xf>
    <xf numFmtId="169" fontId="0" fillId="12" borderId="50" xfId="0" applyNumberFormat="1" applyFill="1" applyBorder="1" applyProtection="1">
      <protection hidden="1"/>
    </xf>
    <xf numFmtId="3" fontId="0" fillId="12" borderId="50" xfId="0" applyNumberFormat="1" applyFill="1" applyBorder="1" applyProtection="1">
      <protection hidden="1"/>
    </xf>
    <xf numFmtId="0" fontId="0" fillId="12" borderId="33" xfId="0" applyFill="1" applyBorder="1" applyAlignment="1" applyProtection="1">
      <alignment horizontal="left"/>
      <protection hidden="1"/>
    </xf>
    <xf numFmtId="0" fontId="10" fillId="13" borderId="9" xfId="0" applyFont="1" applyFill="1" applyBorder="1" applyAlignment="1" applyProtection="1">
      <alignment horizontal="left"/>
      <protection hidden="1"/>
    </xf>
    <xf numFmtId="167" fontId="10" fillId="13" borderId="0" xfId="0" applyNumberFormat="1" applyFont="1" applyFill="1" applyProtection="1">
      <protection hidden="1"/>
    </xf>
    <xf numFmtId="168" fontId="10" fillId="13" borderId="0" xfId="0" applyNumberFormat="1" applyFont="1" applyFill="1" applyProtection="1">
      <protection hidden="1"/>
    </xf>
    <xf numFmtId="169" fontId="10" fillId="13" borderId="2" xfId="0" applyNumberFormat="1" applyFont="1" applyFill="1" applyBorder="1" applyProtection="1">
      <protection hidden="1"/>
    </xf>
    <xf numFmtId="3" fontId="10" fillId="13" borderId="2" xfId="0" applyNumberFormat="1" applyFont="1" applyFill="1" applyBorder="1" applyProtection="1">
      <protection hidden="1"/>
    </xf>
    <xf numFmtId="0" fontId="10" fillId="13" borderId="3" xfId="0" applyFont="1" applyFill="1" applyBorder="1" applyProtection="1">
      <protection hidden="1"/>
    </xf>
    <xf numFmtId="0" fontId="0" fillId="14" borderId="51" xfId="0" applyFill="1" applyBorder="1" applyAlignment="1" applyProtection="1">
      <alignment horizontal="left"/>
      <protection hidden="1"/>
    </xf>
    <xf numFmtId="167" fontId="0" fillId="14" borderId="31" xfId="0" applyNumberFormat="1" applyFill="1" applyBorder="1" applyProtection="1">
      <protection hidden="1"/>
    </xf>
    <xf numFmtId="168" fontId="0" fillId="14" borderId="31" xfId="0" applyNumberFormat="1" applyFill="1" applyBorder="1" applyProtection="1">
      <protection hidden="1"/>
    </xf>
    <xf numFmtId="169" fontId="0" fillId="14" borderId="50" xfId="0" applyNumberFormat="1" applyFill="1" applyBorder="1" applyProtection="1">
      <protection hidden="1"/>
    </xf>
    <xf numFmtId="3" fontId="0" fillId="14" borderId="50" xfId="0" applyNumberFormat="1" applyFill="1" applyBorder="1" applyProtection="1">
      <protection hidden="1"/>
    </xf>
    <xf numFmtId="0" fontId="0" fillId="14" borderId="33" xfId="0" applyFill="1" applyBorder="1" applyAlignment="1" applyProtection="1">
      <alignment horizontal="left"/>
      <protection hidden="1"/>
    </xf>
    <xf numFmtId="0" fontId="2" fillId="9" borderId="27" xfId="0" applyFont="1" applyFill="1" applyBorder="1" applyProtection="1">
      <protection hidden="1"/>
    </xf>
    <xf numFmtId="167" fontId="0" fillId="9" borderId="52" xfId="0" applyNumberFormat="1" applyFill="1" applyBorder="1" applyProtection="1">
      <protection hidden="1"/>
    </xf>
    <xf numFmtId="168" fontId="0" fillId="9" borderId="53" xfId="0" applyNumberFormat="1" applyFill="1" applyBorder="1" applyProtection="1">
      <protection hidden="1"/>
    </xf>
    <xf numFmtId="169" fontId="0" fillId="9" borderId="54" xfId="0" applyNumberFormat="1" applyFill="1" applyBorder="1" applyProtection="1">
      <protection hidden="1"/>
    </xf>
    <xf numFmtId="3" fontId="0" fillId="9" borderId="5" xfId="0" applyNumberFormat="1" applyFill="1" applyBorder="1" applyProtection="1">
      <protection hidden="1"/>
    </xf>
    <xf numFmtId="0" fontId="0" fillId="9" borderId="27" xfId="0" applyFill="1" applyBorder="1" applyProtection="1">
      <protection hidden="1"/>
    </xf>
    <xf numFmtId="167" fontId="0" fillId="9" borderId="55" xfId="0" applyNumberFormat="1" applyFill="1" applyBorder="1" applyProtection="1">
      <protection hidden="1"/>
    </xf>
    <xf numFmtId="168" fontId="0" fillId="9" borderId="0" xfId="0" applyNumberFormat="1" applyFill="1" applyBorder="1" applyProtection="1">
      <protection hidden="1"/>
    </xf>
    <xf numFmtId="3" fontId="0" fillId="9" borderId="56" xfId="0" applyNumberFormat="1" applyFill="1" applyBorder="1" applyProtection="1">
      <protection hidden="1"/>
    </xf>
    <xf numFmtId="1" fontId="0" fillId="9" borderId="3" xfId="0" applyNumberFormat="1" applyFill="1" applyBorder="1" applyProtection="1">
      <protection hidden="1"/>
    </xf>
    <xf numFmtId="0" fontId="0" fillId="9" borderId="39" xfId="0" applyFill="1" applyBorder="1" applyProtection="1">
      <protection hidden="1"/>
    </xf>
    <xf numFmtId="167" fontId="0" fillId="9" borderId="57" xfId="0" applyNumberFormat="1" applyFill="1" applyBorder="1" applyProtection="1">
      <protection hidden="1"/>
    </xf>
    <xf numFmtId="168" fontId="0" fillId="9" borderId="21" xfId="0" applyNumberFormat="1" applyFill="1" applyBorder="1" applyProtection="1">
      <protection hidden="1"/>
    </xf>
    <xf numFmtId="169" fontId="0" fillId="9" borderId="22" xfId="0" applyNumberFormat="1" applyFill="1" applyBorder="1" applyProtection="1">
      <protection hidden="1"/>
    </xf>
    <xf numFmtId="3" fontId="0" fillId="9" borderId="58" xfId="0" applyNumberFormat="1" applyFill="1" applyBorder="1" applyProtection="1">
      <protection hidden="1"/>
    </xf>
    <xf numFmtId="1" fontId="0" fillId="9" borderId="16" xfId="0" applyNumberFormat="1" applyFill="1" applyBorder="1" applyProtection="1">
      <protection hidden="1"/>
    </xf>
    <xf numFmtId="0" fontId="2" fillId="14" borderId="27" xfId="0" applyFont="1" applyFill="1" applyBorder="1" applyProtection="1">
      <protection hidden="1"/>
    </xf>
    <xf numFmtId="167" fontId="0" fillId="14" borderId="55" xfId="0" applyNumberFormat="1" applyFill="1" applyBorder="1" applyProtection="1">
      <protection hidden="1"/>
    </xf>
    <xf numFmtId="168" fontId="0" fillId="14" borderId="0" xfId="0" applyNumberFormat="1" applyFill="1" applyBorder="1" applyProtection="1">
      <protection hidden="1"/>
    </xf>
    <xf numFmtId="169" fontId="0" fillId="14" borderId="2" xfId="0" applyNumberFormat="1" applyFill="1" applyBorder="1" applyProtection="1">
      <protection hidden="1"/>
    </xf>
    <xf numFmtId="3" fontId="0" fillId="14" borderId="56" xfId="0" applyNumberFormat="1" applyFill="1" applyBorder="1" applyProtection="1">
      <protection hidden="1"/>
    </xf>
    <xf numFmtId="1" fontId="0" fillId="14" borderId="3" xfId="0" applyNumberFormat="1" applyFill="1" applyBorder="1" applyProtection="1">
      <protection hidden="1"/>
    </xf>
    <xf numFmtId="0" fontId="0" fillId="14" borderId="27" xfId="0" applyFill="1" applyBorder="1" applyProtection="1">
      <protection hidden="1"/>
    </xf>
    <xf numFmtId="0" fontId="0" fillId="14" borderId="39" xfId="0" applyFill="1" applyBorder="1" applyProtection="1">
      <protection hidden="1"/>
    </xf>
    <xf numFmtId="167" fontId="0" fillId="14" borderId="57" xfId="0" applyNumberFormat="1" applyFill="1" applyBorder="1" applyProtection="1">
      <protection hidden="1"/>
    </xf>
    <xf numFmtId="168" fontId="0" fillId="14" borderId="21" xfId="0" applyNumberFormat="1" applyFill="1" applyBorder="1" applyProtection="1">
      <protection hidden="1"/>
    </xf>
    <xf numFmtId="169" fontId="0" fillId="14" borderId="22" xfId="0" applyNumberFormat="1" applyFill="1" applyBorder="1" applyProtection="1">
      <protection hidden="1"/>
    </xf>
    <xf numFmtId="3" fontId="0" fillId="14" borderId="58" xfId="0" applyNumberFormat="1" applyFill="1" applyBorder="1" applyProtection="1">
      <protection hidden="1"/>
    </xf>
    <xf numFmtId="1" fontId="0" fillId="14" borderId="16" xfId="0" applyNumberFormat="1" applyFill="1" applyBorder="1" applyProtection="1">
      <protection hidden="1"/>
    </xf>
    <xf numFmtId="0" fontId="9" fillId="15" borderId="27" xfId="0" applyFont="1" applyFill="1" applyBorder="1" applyProtection="1">
      <protection hidden="1"/>
    </xf>
    <xf numFmtId="167" fontId="10" fillId="15" borderId="55" xfId="0" applyNumberFormat="1" applyFont="1" applyFill="1" applyBorder="1" applyProtection="1">
      <protection hidden="1"/>
    </xf>
    <xf numFmtId="168" fontId="10" fillId="15" borderId="0" xfId="0" applyNumberFormat="1" applyFont="1" applyFill="1" applyBorder="1" applyProtection="1">
      <protection hidden="1"/>
    </xf>
    <xf numFmtId="169" fontId="10" fillId="15" borderId="2" xfId="0" applyNumberFormat="1" applyFont="1" applyFill="1" applyBorder="1" applyProtection="1">
      <protection hidden="1"/>
    </xf>
    <xf numFmtId="3" fontId="10" fillId="15" borderId="56" xfId="0" applyNumberFormat="1" applyFont="1" applyFill="1" applyBorder="1" applyProtection="1">
      <protection hidden="1"/>
    </xf>
    <xf numFmtId="1" fontId="10" fillId="15" borderId="3" xfId="0" applyNumberFormat="1" applyFont="1" applyFill="1" applyBorder="1" applyProtection="1">
      <protection hidden="1"/>
    </xf>
    <xf numFmtId="0" fontId="10" fillId="15" borderId="39" xfId="0" applyFont="1" applyFill="1" applyBorder="1" applyProtection="1">
      <protection hidden="1"/>
    </xf>
    <xf numFmtId="167" fontId="10" fillId="15" borderId="57" xfId="0" applyNumberFormat="1" applyFont="1" applyFill="1" applyBorder="1" applyProtection="1">
      <protection hidden="1"/>
    </xf>
    <xf numFmtId="168" fontId="10" fillId="15" borderId="21" xfId="0" applyNumberFormat="1" applyFont="1" applyFill="1" applyBorder="1" applyProtection="1">
      <protection hidden="1"/>
    </xf>
    <xf numFmtId="169" fontId="10" fillId="15" borderId="22" xfId="0" applyNumberFormat="1" applyFont="1" applyFill="1" applyBorder="1" applyProtection="1">
      <protection hidden="1"/>
    </xf>
    <xf numFmtId="3" fontId="10" fillId="15" borderId="58" xfId="0" applyNumberFormat="1" applyFont="1" applyFill="1" applyBorder="1" applyProtection="1">
      <protection hidden="1"/>
    </xf>
    <xf numFmtId="1" fontId="10" fillId="15" borderId="16" xfId="0" applyNumberFormat="1" applyFont="1" applyFill="1" applyBorder="1" applyAlignment="1" applyProtection="1">
      <alignment horizontal="center"/>
      <protection hidden="1"/>
    </xf>
    <xf numFmtId="0" fontId="9" fillId="16" borderId="27" xfId="0" applyFont="1" applyFill="1" applyBorder="1" applyProtection="1">
      <protection hidden="1"/>
    </xf>
    <xf numFmtId="167" fontId="10" fillId="16" borderId="55" xfId="0" applyNumberFormat="1" applyFont="1" applyFill="1" applyBorder="1" applyProtection="1">
      <protection hidden="1"/>
    </xf>
    <xf numFmtId="168" fontId="10" fillId="16" borderId="0" xfId="0" applyNumberFormat="1" applyFont="1" applyFill="1" applyBorder="1" applyProtection="1">
      <protection hidden="1"/>
    </xf>
    <xf numFmtId="169" fontId="10" fillId="16" borderId="2" xfId="0" applyNumberFormat="1" applyFont="1" applyFill="1" applyBorder="1" applyProtection="1">
      <protection hidden="1"/>
    </xf>
    <xf numFmtId="3" fontId="10" fillId="16" borderId="56" xfId="0" applyNumberFormat="1" applyFont="1" applyFill="1" applyBorder="1" applyProtection="1">
      <protection hidden="1"/>
    </xf>
    <xf numFmtId="1" fontId="10" fillId="16" borderId="3" xfId="0" applyNumberFormat="1" applyFont="1" applyFill="1" applyBorder="1" applyProtection="1">
      <protection hidden="1"/>
    </xf>
    <xf numFmtId="0" fontId="10" fillId="16" borderId="27" xfId="0" applyFont="1" applyFill="1" applyBorder="1" applyProtection="1">
      <protection hidden="1"/>
    </xf>
    <xf numFmtId="0" fontId="10" fillId="16" borderId="30" xfId="0" applyFont="1" applyFill="1" applyBorder="1" applyProtection="1">
      <protection hidden="1"/>
    </xf>
    <xf numFmtId="167" fontId="10" fillId="16" borderId="59" xfId="0" applyNumberFormat="1" applyFont="1" applyFill="1" applyBorder="1" applyProtection="1">
      <protection hidden="1"/>
    </xf>
    <xf numFmtId="168" fontId="10" fillId="16" borderId="31" xfId="0" applyNumberFormat="1" applyFont="1" applyFill="1" applyBorder="1" applyProtection="1">
      <protection hidden="1"/>
    </xf>
    <xf numFmtId="169" fontId="10" fillId="16" borderId="50" xfId="0" applyNumberFormat="1" applyFont="1" applyFill="1" applyBorder="1" applyProtection="1">
      <protection hidden="1"/>
    </xf>
    <xf numFmtId="3" fontId="10" fillId="16" borderId="60" xfId="0" applyNumberFormat="1" applyFont="1" applyFill="1" applyBorder="1" applyProtection="1">
      <protection hidden="1"/>
    </xf>
    <xf numFmtId="1" fontId="10" fillId="16" borderId="33" xfId="0" applyNumberFormat="1" applyFont="1" applyFill="1" applyBorder="1" applyAlignment="1" applyProtection="1">
      <alignment horizontal="center"/>
      <protection hidden="1"/>
    </xf>
    <xf numFmtId="0" fontId="0" fillId="7" borderId="52" xfId="0" applyFill="1" applyBorder="1" applyProtection="1">
      <protection hidden="1"/>
    </xf>
    <xf numFmtId="0" fontId="1" fillId="7" borderId="53" xfId="0" applyNumberFormat="1" applyFont="1" applyFill="1" applyBorder="1" applyAlignment="1" applyProtection="1">
      <alignment horizontal="center"/>
      <protection hidden="1"/>
    </xf>
    <xf numFmtId="0" fontId="0" fillId="7" borderId="54" xfId="0" applyFill="1" applyBorder="1" applyProtection="1">
      <protection hidden="1"/>
    </xf>
    <xf numFmtId="0" fontId="12" fillId="7" borderId="55" xfId="0" applyFont="1" applyFill="1" applyBorder="1" applyAlignment="1" applyProtection="1">
      <alignment horizontal="right"/>
      <protection hidden="1"/>
    </xf>
    <xf numFmtId="0" fontId="0" fillId="7" borderId="2" xfId="0" applyFill="1" applyBorder="1" applyProtection="1">
      <protection hidden="1"/>
    </xf>
    <xf numFmtId="0" fontId="13" fillId="7" borderId="52" xfId="0" applyFont="1" applyFill="1" applyBorder="1" applyAlignment="1" applyProtection="1">
      <alignment horizontal="right"/>
      <protection hidden="1"/>
    </xf>
    <xf numFmtId="0" fontId="0" fillId="7" borderId="53" xfId="0" applyNumberFormat="1" applyFill="1" applyBorder="1" applyProtection="1">
      <protection hidden="1"/>
    </xf>
    <xf numFmtId="0" fontId="11" fillId="7" borderId="55" xfId="0" applyFont="1" applyFill="1" applyBorder="1" applyAlignment="1" applyProtection="1">
      <alignment horizontal="right"/>
      <protection hidden="1"/>
    </xf>
    <xf numFmtId="0" fontId="11" fillId="7" borderId="57" xfId="0" applyFont="1" applyFill="1" applyBorder="1" applyAlignment="1" applyProtection="1">
      <alignment horizontal="right"/>
      <protection hidden="1"/>
    </xf>
    <xf numFmtId="0" fontId="0" fillId="7" borderId="22" xfId="0" applyFill="1" applyBorder="1" applyProtection="1">
      <protection hidden="1"/>
    </xf>
    <xf numFmtId="0" fontId="4" fillId="7" borderId="64" xfId="0" applyFont="1" applyFill="1" applyBorder="1" applyAlignment="1" applyProtection="1">
      <alignment horizontal="right"/>
      <protection hidden="1"/>
    </xf>
    <xf numFmtId="0" fontId="0" fillId="7" borderId="65" xfId="0" applyNumberFormat="1" applyFill="1" applyBorder="1" applyProtection="1">
      <protection hidden="1"/>
    </xf>
    <xf numFmtId="0" fontId="0" fillId="7" borderId="66" xfId="0" applyFill="1" applyBorder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NumberFormat="1" applyProtection="1">
      <protection hidden="1"/>
    </xf>
    <xf numFmtId="0" fontId="1" fillId="0" borderId="0" xfId="0" applyFont="1" applyAlignment="1" applyProtection="1">
      <protection hidden="1"/>
    </xf>
    <xf numFmtId="0" fontId="0" fillId="17" borderId="52" xfId="0" applyFill="1" applyBorder="1" applyProtection="1">
      <protection hidden="1"/>
    </xf>
    <xf numFmtId="0" fontId="1" fillId="17" borderId="53" xfId="0" applyNumberFormat="1" applyFont="1" applyFill="1" applyBorder="1" applyAlignment="1" applyProtection="1">
      <alignment horizontal="center"/>
      <protection hidden="1"/>
    </xf>
    <xf numFmtId="0" fontId="0" fillId="17" borderId="54" xfId="0" applyFill="1" applyBorder="1" applyProtection="1">
      <protection hidden="1"/>
    </xf>
    <xf numFmtId="0" fontId="12" fillId="17" borderId="55" xfId="0" applyFont="1" applyFill="1" applyBorder="1" applyAlignment="1" applyProtection="1">
      <alignment horizontal="right"/>
      <protection hidden="1"/>
    </xf>
    <xf numFmtId="0" fontId="0" fillId="17" borderId="2" xfId="0" applyFill="1" applyBorder="1" applyProtection="1">
      <protection hidden="1"/>
    </xf>
    <xf numFmtId="0" fontId="13" fillId="17" borderId="64" xfId="0" applyFont="1" applyFill="1" applyBorder="1" applyAlignment="1" applyProtection="1">
      <alignment horizontal="right"/>
      <protection hidden="1"/>
    </xf>
    <xf numFmtId="0" fontId="0" fillId="17" borderId="65" xfId="0" applyNumberFormat="1" applyFill="1" applyBorder="1" applyProtection="1">
      <protection hidden="1"/>
    </xf>
    <xf numFmtId="0" fontId="0" fillId="17" borderId="66" xfId="0" applyFill="1" applyBorder="1" applyProtection="1">
      <protection hidden="1"/>
    </xf>
    <xf numFmtId="0" fontId="11" fillId="17" borderId="55" xfId="0" applyFont="1" applyFill="1" applyBorder="1" applyAlignment="1" applyProtection="1">
      <alignment horizontal="right"/>
      <protection hidden="1"/>
    </xf>
    <xf numFmtId="0" fontId="11" fillId="17" borderId="57" xfId="0" applyFont="1" applyFill="1" applyBorder="1" applyAlignment="1" applyProtection="1">
      <alignment horizontal="right"/>
      <protection hidden="1"/>
    </xf>
    <xf numFmtId="0" fontId="0" fillId="17" borderId="22" xfId="0" applyFill="1" applyBorder="1" applyProtection="1">
      <protection hidden="1"/>
    </xf>
    <xf numFmtId="0" fontId="4" fillId="17" borderId="64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165" fontId="0" fillId="0" borderId="0" xfId="0" applyNumberFormat="1" applyFill="1" applyBorder="1" applyProtection="1">
      <protection hidden="1"/>
    </xf>
    <xf numFmtId="9" fontId="4" fillId="0" borderId="0" xfId="2" applyFill="1" applyBorder="1" applyAlignment="1" applyProtection="1">
      <alignment horizontal="right"/>
      <protection hidden="1"/>
    </xf>
    <xf numFmtId="165" fontId="4" fillId="0" borderId="0" xfId="2" applyNumberFormat="1" applyFill="1" applyBorder="1" applyProtection="1">
      <protection hidden="1"/>
    </xf>
    <xf numFmtId="2" fontId="0" fillId="0" borderId="0" xfId="0" applyNumberFormat="1" applyFill="1" applyBorder="1" applyAlignment="1" applyProtection="1">
      <alignment horizontal="right"/>
      <protection hidden="1"/>
    </xf>
    <xf numFmtId="2" fontId="0" fillId="0" borderId="0" xfId="0" applyNumberFormat="1" applyFill="1" applyProtection="1">
      <protection hidden="1"/>
    </xf>
    <xf numFmtId="1" fontId="0" fillId="0" borderId="0" xfId="0" applyNumberFormat="1" applyFill="1" applyProtection="1">
      <protection hidden="1"/>
    </xf>
    <xf numFmtId="166" fontId="0" fillId="0" borderId="0" xfId="0" applyNumberFormat="1" applyFill="1" applyProtection="1">
      <protection hidden="1"/>
    </xf>
    <xf numFmtId="0" fontId="1" fillId="3" borderId="23" xfId="0" applyFont="1" applyFill="1" applyBorder="1" applyAlignment="1" applyProtection="1">
      <alignment horizontal="right"/>
      <protection hidden="1"/>
    </xf>
    <xf numFmtId="0" fontId="1" fillId="3" borderId="18" xfId="0" applyFont="1" applyFill="1" applyBorder="1" applyAlignment="1" applyProtection="1">
      <alignment horizontal="left"/>
      <protection hidden="1"/>
    </xf>
    <xf numFmtId="0" fontId="1" fillId="3" borderId="67" xfId="0" applyFont="1" applyFill="1" applyBorder="1" applyAlignment="1" applyProtection="1">
      <alignment horizontal="right"/>
      <protection hidden="1"/>
    </xf>
    <xf numFmtId="0" fontId="1" fillId="3" borderId="68" xfId="0" applyFont="1" applyFill="1" applyBorder="1" applyAlignment="1" applyProtection="1">
      <alignment horizontal="left"/>
      <protection hidden="1"/>
    </xf>
    <xf numFmtId="0" fontId="1" fillId="3" borderId="69" xfId="0" applyFont="1" applyFill="1" applyBorder="1" applyAlignment="1" applyProtection="1">
      <alignment horizontal="center"/>
      <protection hidden="1"/>
    </xf>
    <xf numFmtId="0" fontId="0" fillId="3" borderId="36" xfId="0" applyFill="1" applyBorder="1" applyAlignment="1" applyProtection="1">
      <alignment horizontal="right"/>
      <protection hidden="1"/>
    </xf>
    <xf numFmtId="0" fontId="0" fillId="3" borderId="36" xfId="0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22" fillId="4" borderId="0" xfId="0" applyFont="1" applyFill="1" applyAlignment="1" applyProtection="1">
      <alignment horizontal="right"/>
      <protection hidden="1"/>
    </xf>
    <xf numFmtId="2" fontId="21" fillId="4" borderId="0" xfId="0" applyNumberFormat="1" applyFont="1" applyFill="1" applyBorder="1" applyProtection="1">
      <protection hidden="1"/>
    </xf>
    <xf numFmtId="14" fontId="14" fillId="4" borderId="43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right"/>
      <protection hidden="1"/>
    </xf>
    <xf numFmtId="0" fontId="1" fillId="3" borderId="68" xfId="0" applyFont="1" applyFill="1" applyBorder="1" applyAlignment="1" applyProtection="1">
      <alignment horizontal="right"/>
      <protection hidden="1"/>
    </xf>
    <xf numFmtId="0" fontId="0" fillId="18" borderId="0" xfId="0" applyFill="1" applyProtection="1">
      <protection hidden="1"/>
    </xf>
    <xf numFmtId="0" fontId="0" fillId="18" borderId="0" xfId="0" applyFill="1" applyBorder="1" applyProtection="1">
      <protection hidden="1"/>
    </xf>
    <xf numFmtId="0" fontId="0" fillId="18" borderId="3" xfId="0" applyFill="1" applyBorder="1" applyProtection="1">
      <protection hidden="1"/>
    </xf>
    <xf numFmtId="0" fontId="0" fillId="18" borderId="31" xfId="0" applyFill="1" applyBorder="1" applyProtection="1">
      <protection hidden="1"/>
    </xf>
    <xf numFmtId="0" fontId="0" fillId="18" borderId="0" xfId="0" applyFill="1" applyProtection="1"/>
    <xf numFmtId="0" fontId="0" fillId="18" borderId="0" xfId="0" applyFill="1" applyAlignment="1" applyProtection="1">
      <alignment horizontal="center"/>
    </xf>
    <xf numFmtId="0" fontId="5" fillId="18" borderId="4" xfId="0" applyFont="1" applyFill="1" applyBorder="1" applyAlignment="1" applyProtection="1">
      <alignment horizontal="center"/>
    </xf>
    <xf numFmtId="0" fontId="2" fillId="18" borderId="0" xfId="0" applyFont="1" applyFill="1" applyProtection="1"/>
    <xf numFmtId="0" fontId="5" fillId="18" borderId="23" xfId="0" applyFont="1" applyFill="1" applyBorder="1" applyAlignment="1" applyProtection="1">
      <alignment horizontal="center"/>
    </xf>
    <xf numFmtId="0" fontId="0" fillId="18" borderId="23" xfId="0" applyFill="1" applyBorder="1" applyProtection="1"/>
    <xf numFmtId="0" fontId="1" fillId="18" borderId="18" xfId="0" applyFont="1" applyFill="1" applyBorder="1" applyAlignment="1" applyProtection="1">
      <alignment horizontal="center"/>
    </xf>
    <xf numFmtId="0" fontId="1" fillId="18" borderId="13" xfId="0" applyFont="1" applyFill="1" applyBorder="1" applyAlignment="1" applyProtection="1">
      <alignment horizontal="center"/>
    </xf>
    <xf numFmtId="0" fontId="5" fillId="18" borderId="27" xfId="0" applyFont="1" applyFill="1" applyBorder="1" applyAlignment="1" applyProtection="1">
      <alignment horizontal="center"/>
    </xf>
    <xf numFmtId="0" fontId="1" fillId="18" borderId="48" xfId="0" applyFont="1" applyFill="1" applyBorder="1" applyAlignment="1" applyProtection="1">
      <alignment horizontal="center"/>
    </xf>
    <xf numFmtId="0" fontId="1" fillId="18" borderId="19" xfId="0" applyFont="1" applyFill="1" applyBorder="1" applyAlignment="1" applyProtection="1">
      <alignment horizontal="center"/>
    </xf>
    <xf numFmtId="0" fontId="1" fillId="18" borderId="29" xfId="0" applyFont="1" applyFill="1" applyBorder="1" applyAlignment="1" applyProtection="1">
      <alignment horizontal="center"/>
    </xf>
    <xf numFmtId="0" fontId="0" fillId="18" borderId="30" xfId="0" applyNumberFormat="1" applyFill="1" applyBorder="1" applyAlignment="1" applyProtection="1">
      <alignment horizontal="center"/>
    </xf>
    <xf numFmtId="0" fontId="0" fillId="18" borderId="31" xfId="0" applyNumberFormat="1" applyFill="1" applyBorder="1" applyAlignment="1" applyProtection="1">
      <alignment horizontal="center"/>
    </xf>
    <xf numFmtId="0" fontId="0" fillId="18" borderId="33" xfId="0" applyNumberFormat="1" applyFill="1" applyBorder="1" applyAlignment="1" applyProtection="1">
      <alignment horizontal="center"/>
    </xf>
    <xf numFmtId="0" fontId="0" fillId="18" borderId="23" xfId="0" applyFill="1" applyBorder="1" applyAlignment="1" applyProtection="1">
      <alignment horizontal="center"/>
    </xf>
    <xf numFmtId="0" fontId="0" fillId="18" borderId="18" xfId="0" applyFill="1" applyBorder="1" applyAlignment="1" applyProtection="1">
      <alignment horizontal="center"/>
    </xf>
    <xf numFmtId="0" fontId="0" fillId="18" borderId="13" xfId="0" applyFill="1" applyBorder="1" applyAlignment="1" applyProtection="1">
      <alignment horizontal="center"/>
    </xf>
    <xf numFmtId="0" fontId="2" fillId="18" borderId="0" xfId="0" applyFont="1" applyFill="1" applyAlignment="1" applyProtection="1">
      <alignment horizontal="left"/>
    </xf>
    <xf numFmtId="0" fontId="0" fillId="18" borderId="30" xfId="0" applyFill="1" applyBorder="1" applyAlignment="1" applyProtection="1">
      <alignment horizontal="center"/>
    </xf>
    <xf numFmtId="0" fontId="0" fillId="18" borderId="31" xfId="0" applyFill="1" applyBorder="1" applyAlignment="1" applyProtection="1">
      <alignment horizontal="center"/>
    </xf>
    <xf numFmtId="0" fontId="0" fillId="18" borderId="33" xfId="0" applyFill="1" applyBorder="1" applyAlignment="1" applyProtection="1">
      <alignment horizontal="center"/>
    </xf>
    <xf numFmtId="0" fontId="0" fillId="18" borderId="0" xfId="0" applyFill="1" applyBorder="1" applyAlignment="1" applyProtection="1">
      <alignment horizontal="center"/>
    </xf>
    <xf numFmtId="0" fontId="5" fillId="18" borderId="35" xfId="0" applyFont="1" applyFill="1" applyBorder="1" applyAlignment="1" applyProtection="1">
      <alignment horizontal="centerContinuous"/>
    </xf>
    <xf numFmtId="0" fontId="0" fillId="18" borderId="37" xfId="0" applyFill="1" applyBorder="1" applyAlignment="1" applyProtection="1">
      <alignment horizontal="centerContinuous"/>
    </xf>
    <xf numFmtId="0" fontId="0" fillId="18" borderId="0" xfId="0" applyFill="1"/>
    <xf numFmtId="0" fontId="0" fillId="18" borderId="70" xfId="0" applyFill="1" applyBorder="1" applyAlignment="1" applyProtection="1">
      <alignment horizontal="center"/>
    </xf>
    <xf numFmtId="0" fontId="0" fillId="18" borderId="71" xfId="0" applyFill="1" applyBorder="1" applyAlignment="1" applyProtection="1">
      <alignment horizontal="center"/>
    </xf>
    <xf numFmtId="0" fontId="0" fillId="18" borderId="72" xfId="0" applyFill="1" applyBorder="1" applyAlignment="1" applyProtection="1">
      <alignment horizontal="right"/>
    </xf>
    <xf numFmtId="0" fontId="0" fillId="18" borderId="54" xfId="0" applyNumberFormat="1" applyFill="1" applyBorder="1" applyAlignment="1" applyProtection="1">
      <alignment horizontal="right"/>
    </xf>
    <xf numFmtId="0" fontId="0" fillId="18" borderId="53" xfId="0" applyFill="1" applyBorder="1" applyAlignment="1" applyProtection="1">
      <alignment horizontal="right"/>
    </xf>
    <xf numFmtId="0" fontId="0" fillId="18" borderId="73" xfId="0" applyNumberFormat="1" applyFill="1" applyBorder="1" applyProtection="1"/>
    <xf numFmtId="0" fontId="0" fillId="18" borderId="27" xfId="0" applyFill="1" applyBorder="1" applyAlignment="1" applyProtection="1">
      <alignment horizontal="right"/>
    </xf>
    <xf numFmtId="0" fontId="0" fillId="18" borderId="2" xfId="0" applyNumberFormat="1" applyFill="1" applyBorder="1" applyAlignment="1" applyProtection="1">
      <alignment horizontal="right"/>
    </xf>
    <xf numFmtId="0" fontId="0" fillId="18" borderId="0" xfId="0" applyFill="1" applyBorder="1" applyAlignment="1" applyProtection="1">
      <alignment horizontal="right"/>
    </xf>
    <xf numFmtId="0" fontId="0" fillId="18" borderId="3" xfId="0" applyNumberFormat="1" applyFill="1" applyBorder="1" applyProtection="1"/>
    <xf numFmtId="0" fontId="0" fillId="18" borderId="2" xfId="0" applyNumberFormat="1" applyFill="1" applyBorder="1" applyProtection="1"/>
    <xf numFmtId="0" fontId="0" fillId="18" borderId="30" xfId="0" applyFill="1" applyBorder="1" applyAlignment="1" applyProtection="1">
      <alignment horizontal="right"/>
    </xf>
    <xf numFmtId="0" fontId="0" fillId="18" borderId="50" xfId="0" applyNumberFormat="1" applyFill="1" applyBorder="1" applyAlignment="1" applyProtection="1">
      <alignment horizontal="right"/>
    </xf>
    <xf numFmtId="0" fontId="0" fillId="18" borderId="31" xfId="0" applyFill="1" applyBorder="1" applyAlignment="1" applyProtection="1">
      <alignment horizontal="right"/>
    </xf>
    <xf numFmtId="0" fontId="0" fillId="18" borderId="33" xfId="0" applyNumberFormat="1" applyFill="1" applyBorder="1" applyProtection="1"/>
    <xf numFmtId="0" fontId="0" fillId="18" borderId="74" xfId="0" applyFill="1" applyBorder="1" applyAlignment="1" applyProtection="1">
      <alignment horizontal="center"/>
    </xf>
    <xf numFmtId="0" fontId="0" fillId="18" borderId="75" xfId="0" applyFill="1" applyBorder="1" applyAlignment="1" applyProtection="1">
      <alignment horizontal="center"/>
    </xf>
    <xf numFmtId="0" fontId="0" fillId="18" borderId="76" xfId="0" applyFill="1" applyBorder="1" applyAlignment="1" applyProtection="1">
      <alignment horizontal="center"/>
    </xf>
    <xf numFmtId="0" fontId="0" fillId="18" borderId="77" xfId="0" applyFill="1" applyBorder="1" applyAlignment="1" applyProtection="1">
      <alignment horizontal="right"/>
    </xf>
    <xf numFmtId="0" fontId="0" fillId="18" borderId="66" xfId="0" applyNumberFormat="1" applyFill="1" applyBorder="1" applyAlignment="1" applyProtection="1">
      <alignment horizontal="right"/>
    </xf>
    <xf numFmtId="0" fontId="0" fillId="18" borderId="65" xfId="0" applyFill="1" applyBorder="1" applyAlignment="1" applyProtection="1">
      <alignment horizontal="right"/>
    </xf>
    <xf numFmtId="0" fontId="0" fillId="18" borderId="78" xfId="0" applyNumberFormat="1" applyFill="1" applyBorder="1" applyProtection="1"/>
    <xf numFmtId="0" fontId="0" fillId="18" borderId="39" xfId="0" applyFill="1" applyBorder="1" applyAlignment="1" applyProtection="1">
      <alignment horizontal="right"/>
    </xf>
    <xf numFmtId="0" fontId="0" fillId="18" borderId="21" xfId="0" applyNumberFormat="1" applyFill="1" applyBorder="1" applyAlignment="1" applyProtection="1">
      <alignment horizontal="right"/>
    </xf>
    <xf numFmtId="0" fontId="0" fillId="18" borderId="57" xfId="0" applyFill="1" applyBorder="1" applyAlignment="1" applyProtection="1">
      <alignment horizontal="right"/>
    </xf>
    <xf numFmtId="0" fontId="0" fillId="18" borderId="16" xfId="0" applyNumberFormat="1" applyFill="1" applyBorder="1" applyProtection="1"/>
    <xf numFmtId="0" fontId="0" fillId="18" borderId="31" xfId="0" applyNumberFormat="1" applyFill="1" applyBorder="1" applyAlignment="1" applyProtection="1">
      <alignment horizontal="right"/>
    </xf>
    <xf numFmtId="0" fontId="0" fillId="18" borderId="59" xfId="0" applyFill="1" applyBorder="1" applyAlignment="1" applyProtection="1">
      <alignment horizontal="right"/>
    </xf>
    <xf numFmtId="0" fontId="2" fillId="18" borderId="23" xfId="0" applyFont="1" applyFill="1" applyBorder="1" applyProtection="1"/>
    <xf numFmtId="0" fontId="0" fillId="18" borderId="18" xfId="0" applyFill="1" applyBorder="1" applyProtection="1"/>
    <xf numFmtId="0" fontId="0" fillId="18" borderId="13" xfId="0" applyFill="1" applyBorder="1" applyProtection="1"/>
    <xf numFmtId="0" fontId="2" fillId="18" borderId="27" xfId="0" applyFont="1" applyFill="1" applyBorder="1" applyProtection="1"/>
    <xf numFmtId="0" fontId="0" fillId="18" borderId="0" xfId="0" applyFill="1" applyBorder="1" applyProtection="1"/>
    <xf numFmtId="0" fontId="0" fillId="18" borderId="3" xfId="0" applyFill="1" applyBorder="1" applyProtection="1"/>
    <xf numFmtId="0" fontId="2" fillId="18" borderId="30" xfId="0" applyFont="1" applyFill="1" applyBorder="1" applyAlignment="1" applyProtection="1">
      <alignment horizontal="left"/>
    </xf>
    <xf numFmtId="0" fontId="0" fillId="18" borderId="31" xfId="0" applyFill="1" applyBorder="1" applyProtection="1"/>
    <xf numFmtId="0" fontId="0" fillId="18" borderId="33" xfId="0" applyFill="1" applyBorder="1" applyAlignment="1" applyProtection="1">
      <alignment horizontal="left"/>
    </xf>
    <xf numFmtId="0" fontId="0" fillId="18" borderId="23" xfId="0" applyFill="1" applyBorder="1" applyAlignment="1" applyProtection="1">
      <alignment horizontal="right"/>
    </xf>
    <xf numFmtId="165" fontId="0" fillId="18" borderId="18" xfId="0" applyNumberFormat="1" applyFill="1" applyBorder="1" applyAlignment="1" applyProtection="1">
      <alignment horizontal="right"/>
    </xf>
    <xf numFmtId="165" fontId="0" fillId="18" borderId="31" xfId="0" applyNumberFormat="1" applyFill="1" applyBorder="1" applyAlignment="1" applyProtection="1">
      <alignment horizontal="right"/>
    </xf>
    <xf numFmtId="0" fontId="0" fillId="18" borderId="33" xfId="0" applyFill="1" applyBorder="1" applyProtection="1"/>
    <xf numFmtId="0" fontId="0" fillId="18" borderId="30" xfId="0" applyFill="1" applyBorder="1" applyProtection="1"/>
    <xf numFmtId="0" fontId="0" fillId="18" borderId="74" xfId="0" applyFill="1" applyBorder="1" applyProtection="1"/>
    <xf numFmtId="0" fontId="0" fillId="18" borderId="79" xfId="0" applyFill="1" applyBorder="1" applyProtection="1"/>
    <xf numFmtId="0" fontId="0" fillId="18" borderId="76" xfId="0" applyFill="1" applyBorder="1" applyProtection="1"/>
    <xf numFmtId="0" fontId="0" fillId="18" borderId="71" xfId="0" applyFill="1" applyBorder="1" applyProtection="1"/>
    <xf numFmtId="0" fontId="0" fillId="18" borderId="59" xfId="0" applyFill="1" applyBorder="1" applyAlignment="1" applyProtection="1">
      <alignment horizontal="center"/>
    </xf>
    <xf numFmtId="0" fontId="8" fillId="18" borderId="23" xfId="0" applyFont="1" applyFill="1" applyBorder="1" applyAlignment="1" applyProtection="1">
      <alignment horizontal="right"/>
    </xf>
    <xf numFmtId="0" fontId="0" fillId="4" borderId="80" xfId="0" applyNumberFormat="1" applyFill="1" applyBorder="1" applyAlignment="1" applyProtection="1">
      <alignment horizontal="center"/>
      <protection locked="0"/>
    </xf>
    <xf numFmtId="0" fontId="30" fillId="19" borderId="0" xfId="0" quotePrefix="1" applyFont="1" applyFill="1" applyProtection="1">
      <protection hidden="1"/>
    </xf>
    <xf numFmtId="0" fontId="31" fillId="19" borderId="0" xfId="0" applyFont="1" applyFill="1" applyProtection="1">
      <protection hidden="1"/>
    </xf>
    <xf numFmtId="0" fontId="30" fillId="19" borderId="31" xfId="0" quotePrefix="1" applyFont="1" applyFill="1" applyBorder="1" applyProtection="1">
      <protection hidden="1"/>
    </xf>
    <xf numFmtId="0" fontId="31" fillId="19" borderId="31" xfId="0" applyFont="1" applyFill="1" applyBorder="1" applyProtection="1">
      <protection hidden="1"/>
    </xf>
    <xf numFmtId="0" fontId="28" fillId="18" borderId="0" xfId="0" applyFont="1" applyFill="1" applyAlignment="1" applyProtection="1">
      <alignment horizontal="right"/>
      <protection hidden="1"/>
    </xf>
    <xf numFmtId="0" fontId="28" fillId="18" borderId="0" xfId="0" applyFont="1" applyFill="1" applyProtection="1">
      <protection hidden="1"/>
    </xf>
    <xf numFmtId="0" fontId="5" fillId="18" borderId="4" xfId="0" applyFont="1" applyFill="1" applyBorder="1" applyAlignment="1" applyProtection="1">
      <alignment horizontal="center"/>
      <protection hidden="1"/>
    </xf>
    <xf numFmtId="0" fontId="10" fillId="18" borderId="0" xfId="0" applyFont="1" applyFill="1" applyProtection="1">
      <protection hidden="1"/>
    </xf>
    <xf numFmtId="0" fontId="27" fillId="18" borderId="0" xfId="0" applyFont="1" applyFill="1" applyAlignment="1" applyProtection="1">
      <alignment horizontal="right"/>
      <protection hidden="1"/>
    </xf>
    <xf numFmtId="14" fontId="27" fillId="18" borderId="0" xfId="0" quotePrefix="1" applyNumberFormat="1" applyFont="1" applyFill="1" applyAlignment="1" applyProtection="1">
      <alignment horizontal="center"/>
      <protection hidden="1"/>
    </xf>
    <xf numFmtId="0" fontId="0" fillId="18" borderId="0" xfId="0" applyFill="1" applyAlignment="1" applyProtection="1">
      <alignment horizontal="right"/>
      <protection hidden="1"/>
    </xf>
    <xf numFmtId="0" fontId="10" fillId="18" borderId="0" xfId="0" applyFont="1" applyFill="1" applyAlignment="1" applyProtection="1">
      <alignment horizontal="center"/>
      <protection hidden="1"/>
    </xf>
    <xf numFmtId="0" fontId="10" fillId="18" borderId="0" xfId="0" applyFont="1" applyFill="1" applyBorder="1" applyAlignment="1" applyProtection="1">
      <alignment horizontal="right"/>
      <protection hidden="1"/>
    </xf>
    <xf numFmtId="0" fontId="27" fillId="18" borderId="0" xfId="0" applyFont="1" applyFill="1" applyAlignment="1" applyProtection="1">
      <alignment horizontal="center"/>
      <protection hidden="1"/>
    </xf>
    <xf numFmtId="0" fontId="17" fillId="18" borderId="0" xfId="0" applyFont="1" applyFill="1" applyProtection="1">
      <protection hidden="1"/>
    </xf>
    <xf numFmtId="0" fontId="27" fillId="18" borderId="0" xfId="0" applyFont="1" applyFill="1" applyProtection="1">
      <protection hidden="1"/>
    </xf>
    <xf numFmtId="0" fontId="26" fillId="18" borderId="0" xfId="1" applyFont="1" applyFill="1" applyAlignment="1" applyProtection="1">
      <protection hidden="1"/>
    </xf>
    <xf numFmtId="0" fontId="16" fillId="18" borderId="0" xfId="0" applyFont="1" applyFill="1" applyProtection="1">
      <protection hidden="1"/>
    </xf>
    <xf numFmtId="0" fontId="29" fillId="18" borderId="0" xfId="0" applyFont="1" applyFill="1" applyAlignment="1" applyProtection="1">
      <alignment horizontal="right"/>
      <protection hidden="1"/>
    </xf>
    <xf numFmtId="0" fontId="29" fillId="18" borderId="0" xfId="0" applyFont="1" applyFill="1" applyProtection="1">
      <protection hidden="1"/>
    </xf>
    <xf numFmtId="0" fontId="16" fillId="18" borderId="31" xfId="0" applyFont="1" applyFill="1" applyBorder="1" applyProtection="1">
      <protection hidden="1"/>
    </xf>
    <xf numFmtId="0" fontId="0" fillId="18" borderId="0" xfId="0" applyFill="1" applyAlignment="1" applyProtection="1">
      <alignment horizontal="center"/>
      <protection hidden="1"/>
    </xf>
    <xf numFmtId="0" fontId="18" fillId="18" borderId="0" xfId="0" applyFont="1" applyFill="1" applyAlignment="1" applyProtection="1">
      <alignment horizontal="center"/>
      <protection hidden="1"/>
    </xf>
    <xf numFmtId="0" fontId="19" fillId="18" borderId="0" xfId="0" applyFont="1" applyFill="1" applyProtection="1">
      <protection hidden="1"/>
    </xf>
    <xf numFmtId="0" fontId="4" fillId="18" borderId="0" xfId="0" applyFont="1" applyFill="1" applyAlignment="1" applyProtection="1">
      <alignment horizontal="center"/>
      <protection hidden="1"/>
    </xf>
    <xf numFmtId="0" fontId="14" fillId="18" borderId="0" xfId="0" applyFont="1" applyFill="1" applyProtection="1">
      <protection hidden="1"/>
    </xf>
    <xf numFmtId="0" fontId="0" fillId="18" borderId="0" xfId="0" applyFill="1" applyAlignment="1" applyProtection="1">
      <alignment horizontal="left"/>
      <protection hidden="1"/>
    </xf>
    <xf numFmtId="0" fontId="4" fillId="18" borderId="31" xfId="0" applyFont="1" applyFill="1" applyBorder="1" applyAlignment="1" applyProtection="1">
      <alignment horizontal="centerContinuous"/>
      <protection hidden="1"/>
    </xf>
    <xf numFmtId="0" fontId="1" fillId="18" borderId="31" xfId="0" applyFont="1" applyFill="1" applyBorder="1" applyAlignment="1" applyProtection="1">
      <alignment horizontal="center"/>
      <protection hidden="1"/>
    </xf>
    <xf numFmtId="0" fontId="4" fillId="18" borderId="31" xfId="0" applyFont="1" applyFill="1" applyBorder="1" applyAlignment="1" applyProtection="1">
      <alignment horizontal="right"/>
      <protection hidden="1"/>
    </xf>
    <xf numFmtId="0" fontId="20" fillId="18" borderId="0" xfId="0" applyFont="1" applyFill="1" applyProtection="1">
      <protection hidden="1"/>
    </xf>
    <xf numFmtId="0" fontId="4" fillId="18" borderId="0" xfId="0" applyFont="1" applyFill="1" applyAlignment="1" applyProtection="1">
      <alignment horizontal="left"/>
      <protection hidden="1"/>
    </xf>
    <xf numFmtId="0" fontId="4" fillId="18" borderId="3" xfId="0" applyFont="1" applyFill="1" applyBorder="1" applyAlignment="1" applyProtection="1">
      <alignment horizontal="right"/>
      <protection hidden="1"/>
    </xf>
    <xf numFmtId="0" fontId="30" fillId="18" borderId="0" xfId="0" quotePrefix="1" applyFont="1" applyFill="1" applyBorder="1" applyProtection="1">
      <protection hidden="1"/>
    </xf>
    <xf numFmtId="0" fontId="31" fillId="18" borderId="0" xfId="0" applyFont="1" applyFill="1" applyBorder="1" applyProtection="1">
      <protection hidden="1"/>
    </xf>
    <xf numFmtId="0" fontId="16" fillId="19" borderId="0" xfId="0" applyFont="1" applyFill="1" applyAlignment="1" applyProtection="1">
      <alignment horizontal="right"/>
      <protection hidden="1"/>
    </xf>
    <xf numFmtId="0" fontId="16" fillId="19" borderId="0" xfId="0" applyFont="1" applyFill="1" applyProtection="1">
      <protection hidden="1"/>
    </xf>
    <xf numFmtId="0" fontId="31" fillId="19" borderId="18" xfId="0" applyFont="1" applyFill="1" applyBorder="1" applyProtection="1">
      <protection hidden="1"/>
    </xf>
    <xf numFmtId="0" fontId="16" fillId="19" borderId="13" xfId="0" applyFont="1" applyFill="1" applyBorder="1" applyProtection="1">
      <protection hidden="1"/>
    </xf>
    <xf numFmtId="0" fontId="0" fillId="19" borderId="31" xfId="0" applyFill="1" applyBorder="1" applyAlignment="1" applyProtection="1">
      <alignment horizontal="right"/>
      <protection hidden="1"/>
    </xf>
    <xf numFmtId="0" fontId="0" fillId="19" borderId="31" xfId="0" applyFill="1" applyBorder="1" applyProtection="1">
      <protection hidden="1"/>
    </xf>
    <xf numFmtId="0" fontId="0" fillId="19" borderId="33" xfId="0" applyFill="1" applyBorder="1" applyProtection="1">
      <protection hidden="1"/>
    </xf>
    <xf numFmtId="0" fontId="32" fillId="4" borderId="4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0" borderId="0" xfId="0" applyFill="1" applyProtection="1">
      <protection hidden="1"/>
    </xf>
    <xf numFmtId="169" fontId="0" fillId="20" borderId="0" xfId="0" applyNumberFormat="1" applyFill="1" applyProtection="1">
      <protection hidden="1"/>
    </xf>
    <xf numFmtId="3" fontId="0" fillId="20" borderId="0" xfId="0" applyNumberFormat="1" applyFill="1" applyProtection="1">
      <protection hidden="1"/>
    </xf>
    <xf numFmtId="0" fontId="0" fillId="20" borderId="0" xfId="0" applyFill="1" applyProtection="1"/>
    <xf numFmtId="0" fontId="2" fillId="20" borderId="0" xfId="0" applyFont="1" applyFill="1" applyProtection="1">
      <protection hidden="1"/>
    </xf>
    <xf numFmtId="0" fontId="0" fillId="20" borderId="3" xfId="0" applyFill="1" applyBorder="1" applyProtection="1">
      <protection hidden="1"/>
    </xf>
    <xf numFmtId="167" fontId="0" fillId="20" borderId="0" xfId="0" applyNumberFormat="1" applyFill="1" applyProtection="1">
      <protection hidden="1"/>
    </xf>
    <xf numFmtId="168" fontId="0" fillId="20" borderId="0" xfId="0" applyNumberFormat="1" applyFill="1" applyProtection="1">
      <protection hidden="1"/>
    </xf>
    <xf numFmtId="0" fontId="1" fillId="20" borderId="23" xfId="0" applyFont="1" applyFill="1" applyBorder="1" applyAlignment="1" applyProtection="1">
      <alignment horizontal="center"/>
      <protection hidden="1"/>
    </xf>
    <xf numFmtId="0" fontId="1" fillId="20" borderId="18" xfId="0" applyFont="1" applyFill="1" applyBorder="1" applyAlignment="1" applyProtection="1">
      <alignment horizontal="center"/>
      <protection hidden="1"/>
    </xf>
    <xf numFmtId="169" fontId="1" fillId="20" borderId="13" xfId="0" applyNumberFormat="1" applyFont="1" applyFill="1" applyBorder="1" applyAlignment="1" applyProtection="1">
      <alignment horizontal="center"/>
      <protection hidden="1"/>
    </xf>
    <xf numFmtId="3" fontId="1" fillId="20" borderId="14" xfId="0" applyNumberFormat="1" applyFont="1" applyFill="1" applyBorder="1" applyAlignment="1" applyProtection="1">
      <alignment horizontal="center"/>
      <protection hidden="1"/>
    </xf>
    <xf numFmtId="0" fontId="1" fillId="20" borderId="13" xfId="0" applyFont="1" applyFill="1" applyBorder="1" applyAlignment="1" applyProtection="1">
      <alignment horizontal="center"/>
      <protection hidden="1"/>
    </xf>
    <xf numFmtId="0" fontId="1" fillId="20" borderId="48" xfId="0" applyFont="1" applyFill="1" applyBorder="1" applyAlignment="1" applyProtection="1">
      <alignment horizontal="center"/>
      <protection hidden="1"/>
    </xf>
    <xf numFmtId="0" fontId="1" fillId="20" borderId="19" xfId="0" applyFont="1" applyFill="1" applyBorder="1" applyAlignment="1" applyProtection="1">
      <alignment horizontal="center"/>
      <protection hidden="1"/>
    </xf>
    <xf numFmtId="169" fontId="1" fillId="20" borderId="29" xfId="0" applyNumberFormat="1" applyFont="1" applyFill="1" applyBorder="1" applyAlignment="1" applyProtection="1">
      <alignment horizontal="center"/>
      <protection hidden="1"/>
    </xf>
    <xf numFmtId="3" fontId="1" fillId="20" borderId="15" xfId="0" applyNumberFormat="1" applyFont="1" applyFill="1" applyBorder="1" applyAlignment="1" applyProtection="1">
      <alignment horizontal="center"/>
      <protection hidden="1"/>
    </xf>
    <xf numFmtId="0" fontId="1" fillId="20" borderId="3" xfId="0" applyFont="1" applyFill="1" applyBorder="1" applyAlignment="1" applyProtection="1">
      <alignment horizontal="center"/>
      <protection hidden="1"/>
    </xf>
    <xf numFmtId="0" fontId="7" fillId="20" borderId="19" xfId="0" applyFont="1" applyFill="1" applyBorder="1" applyAlignment="1" applyProtection="1">
      <alignment horizontal="center"/>
      <protection hidden="1"/>
    </xf>
    <xf numFmtId="169" fontId="7" fillId="20" borderId="29" xfId="0" applyNumberFormat="1" applyFont="1" applyFill="1" applyBorder="1" applyAlignment="1" applyProtection="1">
      <alignment horizontal="center"/>
      <protection hidden="1"/>
    </xf>
    <xf numFmtId="3" fontId="7" fillId="20" borderId="15" xfId="0" applyNumberFormat="1" applyFont="1" applyFill="1" applyBorder="1" applyAlignment="1" applyProtection="1">
      <alignment horizontal="center"/>
      <protection hidden="1"/>
    </xf>
    <xf numFmtId="0" fontId="0" fillId="20" borderId="3" xfId="0" applyFill="1" applyBorder="1" applyAlignment="1" applyProtection="1">
      <alignment horizontal="center"/>
      <protection hidden="1"/>
    </xf>
    <xf numFmtId="0" fontId="0" fillId="20" borderId="39" xfId="0" applyFill="1" applyBorder="1" applyAlignment="1" applyProtection="1">
      <alignment horizontal="center"/>
      <protection hidden="1"/>
    </xf>
    <xf numFmtId="0" fontId="0" fillId="20" borderId="21" xfId="0" applyFill="1" applyBorder="1" applyAlignment="1" applyProtection="1">
      <alignment horizontal="center"/>
      <protection hidden="1"/>
    </xf>
    <xf numFmtId="169" fontId="0" fillId="20" borderId="16" xfId="0" applyNumberFormat="1" applyFill="1" applyBorder="1" applyAlignment="1" applyProtection="1">
      <alignment horizontal="center"/>
      <protection hidden="1"/>
    </xf>
    <xf numFmtId="3" fontId="0" fillId="20" borderId="22" xfId="0" applyNumberFormat="1" applyFill="1" applyBorder="1" applyAlignment="1" applyProtection="1">
      <alignment horizontal="center"/>
      <protection hidden="1"/>
    </xf>
    <xf numFmtId="0" fontId="0" fillId="20" borderId="16" xfId="0" applyFill="1" applyBorder="1" applyProtection="1">
      <protection hidden="1"/>
    </xf>
    <xf numFmtId="167" fontId="0" fillId="20" borderId="35" xfId="0" applyNumberFormat="1" applyFill="1" applyBorder="1" applyProtection="1">
      <protection hidden="1"/>
    </xf>
    <xf numFmtId="168" fontId="0" fillId="20" borderId="36" xfId="0" applyNumberFormat="1" applyFill="1" applyBorder="1" applyProtection="1">
      <protection hidden="1"/>
    </xf>
    <xf numFmtId="169" fontId="0" fillId="20" borderId="37" xfId="0" applyNumberFormat="1" applyFill="1" applyBorder="1" applyProtection="1">
      <protection hidden="1"/>
    </xf>
    <xf numFmtId="3" fontId="0" fillId="20" borderId="50" xfId="0" applyNumberFormat="1" applyFill="1" applyBorder="1" applyProtection="1">
      <protection hidden="1"/>
    </xf>
    <xf numFmtId="0" fontId="0" fillId="20" borderId="33" xfId="0" applyFill="1" applyBorder="1" applyProtection="1">
      <protection hidden="1"/>
    </xf>
    <xf numFmtId="0" fontId="5" fillId="20" borderId="47" xfId="0" applyFont="1" applyFill="1" applyBorder="1" applyAlignment="1" applyProtection="1">
      <alignment horizontal="center"/>
      <protection hidden="1"/>
    </xf>
    <xf numFmtId="0" fontId="1" fillId="20" borderId="41" xfId="0" applyFont="1" applyFill="1" applyBorder="1" applyAlignment="1" applyProtection="1">
      <alignment horizontal="center"/>
      <protection hidden="1"/>
    </xf>
    <xf numFmtId="0" fontId="1" fillId="20" borderId="42" xfId="0" applyFont="1" applyFill="1" applyBorder="1" applyAlignment="1" applyProtection="1">
      <alignment horizontal="center"/>
      <protection hidden="1"/>
    </xf>
    <xf numFmtId="0" fontId="1" fillId="20" borderId="49" xfId="0" applyFont="1" applyFill="1" applyBorder="1" applyAlignment="1" applyProtection="1">
      <alignment horizontal="center"/>
      <protection hidden="1"/>
    </xf>
    <xf numFmtId="0" fontId="0" fillId="20" borderId="0" xfId="0" applyFill="1" applyAlignment="1" applyProtection="1">
      <alignment horizontal="center"/>
      <protection hidden="1"/>
    </xf>
    <xf numFmtId="0" fontId="5" fillId="20" borderId="0" xfId="0" applyFont="1" applyFill="1" applyAlignment="1" applyProtection="1">
      <alignment horizontal="left"/>
      <protection hidden="1"/>
    </xf>
    <xf numFmtId="169" fontId="0" fillId="20" borderId="0" xfId="0" applyNumberFormat="1" applyFill="1" applyAlignment="1" applyProtection="1">
      <alignment horizontal="right"/>
      <protection hidden="1"/>
    </xf>
    <xf numFmtId="0" fontId="6" fillId="20" borderId="0" xfId="0" applyFont="1" applyFill="1" applyAlignment="1" applyProtection="1">
      <alignment horizontal="right"/>
      <protection hidden="1"/>
    </xf>
    <xf numFmtId="0" fontId="1" fillId="20" borderId="17" xfId="0" applyFont="1" applyFill="1" applyBorder="1" applyAlignment="1" applyProtection="1">
      <alignment horizontal="center"/>
      <protection hidden="1"/>
    </xf>
    <xf numFmtId="167" fontId="1" fillId="20" borderId="18" xfId="0" applyNumberFormat="1" applyFont="1" applyFill="1" applyBorder="1" applyAlignment="1" applyProtection="1">
      <alignment horizontal="center"/>
      <protection hidden="1"/>
    </xf>
    <xf numFmtId="168" fontId="1" fillId="20" borderId="18" xfId="0" applyNumberFormat="1" applyFont="1" applyFill="1" applyBorder="1" applyAlignment="1" applyProtection="1">
      <alignment horizontal="center"/>
      <protection hidden="1"/>
    </xf>
    <xf numFmtId="169" fontId="1" fillId="20" borderId="14" xfId="0" applyNumberFormat="1" applyFont="1" applyFill="1" applyBorder="1" applyAlignment="1" applyProtection="1">
      <alignment horizontal="center"/>
      <protection hidden="1"/>
    </xf>
    <xf numFmtId="0" fontId="1" fillId="20" borderId="9" xfId="0" applyFont="1" applyFill="1" applyBorder="1" applyAlignment="1" applyProtection="1">
      <alignment horizontal="center"/>
      <protection hidden="1"/>
    </xf>
    <xf numFmtId="167" fontId="1" fillId="20" borderId="19" xfId="0" applyNumberFormat="1" applyFont="1" applyFill="1" applyBorder="1" applyAlignment="1" applyProtection="1">
      <alignment horizontal="center"/>
      <protection hidden="1"/>
    </xf>
    <xf numFmtId="168" fontId="1" fillId="20" borderId="19" xfId="0" applyNumberFormat="1" applyFont="1" applyFill="1" applyBorder="1" applyAlignment="1" applyProtection="1">
      <alignment horizontal="center"/>
      <protection hidden="1"/>
    </xf>
    <xf numFmtId="169" fontId="1" fillId="20" borderId="15" xfId="0" applyNumberFormat="1" applyFont="1" applyFill="1" applyBorder="1" applyAlignment="1" applyProtection="1">
      <alignment horizontal="center"/>
      <protection hidden="1"/>
    </xf>
    <xf numFmtId="168" fontId="7" fillId="20" borderId="19" xfId="0" applyNumberFormat="1" applyFont="1" applyFill="1" applyBorder="1" applyAlignment="1" applyProtection="1">
      <alignment horizontal="center"/>
      <protection hidden="1"/>
    </xf>
    <xf numFmtId="169" fontId="7" fillId="20" borderId="15" xfId="0" applyNumberFormat="1" applyFont="1" applyFill="1" applyBorder="1" applyAlignment="1" applyProtection="1">
      <alignment horizontal="center"/>
      <protection hidden="1"/>
    </xf>
    <xf numFmtId="0" fontId="0" fillId="20" borderId="20" xfId="0" applyFill="1" applyBorder="1" applyAlignment="1" applyProtection="1">
      <alignment horizontal="center"/>
      <protection hidden="1"/>
    </xf>
    <xf numFmtId="167" fontId="0" fillId="20" borderId="21" xfId="0" applyNumberFormat="1" applyFill="1" applyBorder="1" applyAlignment="1" applyProtection="1">
      <alignment horizontal="center"/>
      <protection hidden="1"/>
    </xf>
    <xf numFmtId="168" fontId="0" fillId="20" borderId="21" xfId="0" applyNumberFormat="1" applyFill="1" applyBorder="1" applyAlignment="1" applyProtection="1">
      <alignment horizontal="center"/>
      <protection hidden="1"/>
    </xf>
    <xf numFmtId="169" fontId="0" fillId="20" borderId="22" xfId="0" applyNumberFormat="1" applyFill="1" applyBorder="1" applyAlignment="1" applyProtection="1">
      <alignment horizontal="center"/>
      <protection hidden="1"/>
    </xf>
    <xf numFmtId="0" fontId="0" fillId="20" borderId="3" xfId="0" applyFill="1" applyBorder="1" applyProtection="1"/>
    <xf numFmtId="0" fontId="0" fillId="20" borderId="0" xfId="0" applyFill="1" applyAlignment="1" applyProtection="1">
      <alignment horizontal="center"/>
    </xf>
    <xf numFmtId="3" fontId="0" fillId="20" borderId="0" xfId="0" applyNumberFormat="1" applyFill="1" applyProtection="1"/>
    <xf numFmtId="0" fontId="0" fillId="20" borderId="0" xfId="0" applyFill="1" applyBorder="1" applyProtection="1">
      <protection hidden="1"/>
    </xf>
    <xf numFmtId="168" fontId="5" fillId="20" borderId="0" xfId="0" applyNumberFormat="1" applyFont="1" applyFill="1" applyAlignment="1" applyProtection="1">
      <alignment horizontal="center"/>
      <protection hidden="1"/>
    </xf>
    <xf numFmtId="0" fontId="0" fillId="20" borderId="0" xfId="0" applyFill="1" applyAlignment="1" applyProtection="1">
      <alignment horizontal="left"/>
      <protection hidden="1"/>
    </xf>
    <xf numFmtId="0" fontId="0" fillId="20" borderId="20" xfId="0" applyFill="1" applyBorder="1" applyProtection="1">
      <protection hidden="1"/>
    </xf>
    <xf numFmtId="167" fontId="2" fillId="20" borderId="0" xfId="0" quotePrefix="1" applyNumberFormat="1" applyFont="1" applyFill="1" applyAlignment="1" applyProtection="1">
      <alignment horizontal="left"/>
      <protection hidden="1"/>
    </xf>
    <xf numFmtId="167" fontId="5" fillId="20" borderId="0" xfId="0" applyNumberFormat="1" applyFont="1" applyFill="1" applyProtection="1">
      <protection hidden="1"/>
    </xf>
    <xf numFmtId="169" fontId="0" fillId="20" borderId="2" xfId="0" applyNumberFormat="1" applyFill="1" applyBorder="1" applyProtection="1">
      <protection hidden="1"/>
    </xf>
    <xf numFmtId="3" fontId="0" fillId="20" borderId="2" xfId="0" applyNumberFormat="1" applyFill="1" applyBorder="1" applyProtection="1">
      <protection hidden="1"/>
    </xf>
    <xf numFmtId="167" fontId="0" fillId="20" borderId="31" xfId="0" applyNumberFormat="1" applyFill="1" applyBorder="1" applyProtection="1">
      <protection hidden="1"/>
    </xf>
    <xf numFmtId="168" fontId="0" fillId="20" borderId="31" xfId="0" applyNumberFormat="1" applyFill="1" applyBorder="1" applyProtection="1">
      <protection hidden="1"/>
    </xf>
    <xf numFmtId="169" fontId="0" fillId="20" borderId="50" xfId="0" applyNumberFormat="1" applyFill="1" applyBorder="1" applyProtection="1">
      <protection hidden="1"/>
    </xf>
    <xf numFmtId="0" fontId="0" fillId="20" borderId="33" xfId="0" applyFill="1" applyBorder="1" applyAlignment="1" applyProtection="1">
      <alignment horizontal="left"/>
      <protection hidden="1"/>
    </xf>
    <xf numFmtId="0" fontId="2" fillId="20" borderId="0" xfId="0" applyFont="1" applyFill="1" applyBorder="1" applyAlignment="1" applyProtection="1">
      <alignment horizontal="left"/>
      <protection hidden="1"/>
    </xf>
    <xf numFmtId="167" fontId="0" fillId="20" borderId="0" xfId="0" applyNumberFormat="1" applyFill="1" applyBorder="1" applyProtection="1">
      <protection hidden="1"/>
    </xf>
    <xf numFmtId="168" fontId="0" fillId="20" borderId="0" xfId="0" applyNumberFormat="1" applyFill="1" applyBorder="1" applyProtection="1">
      <protection hidden="1"/>
    </xf>
    <xf numFmtId="169" fontId="0" fillId="20" borderId="0" xfId="0" applyNumberFormat="1" applyFill="1" applyBorder="1" applyProtection="1">
      <protection hidden="1"/>
    </xf>
    <xf numFmtId="3" fontId="0" fillId="20" borderId="0" xfId="0" applyNumberFormat="1" applyFill="1" applyBorder="1" applyProtection="1">
      <protection hidden="1"/>
    </xf>
    <xf numFmtId="0" fontId="0" fillId="20" borderId="0" xfId="0" applyFill="1" applyBorder="1" applyAlignment="1" applyProtection="1">
      <alignment horizontal="left"/>
      <protection hidden="1"/>
    </xf>
    <xf numFmtId="167" fontId="0" fillId="20" borderId="0" xfId="0" applyNumberFormat="1" applyFill="1" applyProtection="1"/>
    <xf numFmtId="168" fontId="0" fillId="20" borderId="0" xfId="0" applyNumberFormat="1" applyFill="1" applyProtection="1"/>
    <xf numFmtId="169" fontId="0" fillId="20" borderId="0" xfId="0" applyNumberFormat="1" applyFill="1" applyProtection="1"/>
    <xf numFmtId="0" fontId="5" fillId="20" borderId="0" xfId="0" applyFont="1" applyFill="1" applyAlignment="1" applyProtection="1">
      <alignment horizontal="left"/>
    </xf>
    <xf numFmtId="167" fontId="2" fillId="20" borderId="0" xfId="0" applyNumberFormat="1" applyFont="1" applyFill="1" applyProtection="1"/>
    <xf numFmtId="169" fontId="0" fillId="20" borderId="0" xfId="0" applyNumberFormat="1" applyFill="1" applyAlignment="1" applyProtection="1">
      <alignment horizontal="right"/>
    </xf>
    <xf numFmtId="0" fontId="6" fillId="20" borderId="0" xfId="0" applyFont="1" applyFill="1" applyAlignment="1" applyProtection="1">
      <alignment horizontal="right"/>
    </xf>
    <xf numFmtId="0" fontId="1" fillId="20" borderId="17" xfId="0" applyFont="1" applyFill="1" applyBorder="1" applyAlignment="1" applyProtection="1">
      <alignment horizontal="center"/>
    </xf>
    <xf numFmtId="167" fontId="1" fillId="20" borderId="18" xfId="0" applyNumberFormat="1" applyFont="1" applyFill="1" applyBorder="1" applyAlignment="1" applyProtection="1">
      <alignment horizontal="center"/>
    </xf>
    <xf numFmtId="168" fontId="1" fillId="20" borderId="18" xfId="0" applyNumberFormat="1" applyFont="1" applyFill="1" applyBorder="1" applyAlignment="1" applyProtection="1">
      <alignment horizontal="center"/>
    </xf>
    <xf numFmtId="169" fontId="1" fillId="20" borderId="14" xfId="0" applyNumberFormat="1" applyFont="1" applyFill="1" applyBorder="1" applyAlignment="1" applyProtection="1">
      <alignment horizontal="center"/>
    </xf>
    <xf numFmtId="3" fontId="1" fillId="20" borderId="14" xfId="0" applyNumberFormat="1" applyFont="1" applyFill="1" applyBorder="1" applyAlignment="1" applyProtection="1">
      <alignment horizontal="center"/>
    </xf>
    <xf numFmtId="0" fontId="1" fillId="20" borderId="13" xfId="0" applyFont="1" applyFill="1" applyBorder="1" applyAlignment="1" applyProtection="1">
      <alignment horizontal="center"/>
    </xf>
    <xf numFmtId="0" fontId="1" fillId="20" borderId="9" xfId="0" applyFont="1" applyFill="1" applyBorder="1" applyAlignment="1" applyProtection="1">
      <alignment horizontal="center"/>
    </xf>
    <xf numFmtId="167" fontId="1" fillId="20" borderId="19" xfId="0" applyNumberFormat="1" applyFont="1" applyFill="1" applyBorder="1" applyAlignment="1" applyProtection="1">
      <alignment horizontal="center"/>
    </xf>
    <xf numFmtId="168" fontId="1" fillId="20" borderId="19" xfId="0" applyNumberFormat="1" applyFont="1" applyFill="1" applyBorder="1" applyAlignment="1" applyProtection="1">
      <alignment horizontal="center"/>
    </xf>
    <xf numFmtId="169" fontId="1" fillId="20" borderId="15" xfId="0" applyNumberFormat="1" applyFont="1" applyFill="1" applyBorder="1" applyAlignment="1" applyProtection="1">
      <alignment horizontal="center"/>
    </xf>
    <xf numFmtId="3" fontId="1" fillId="20" borderId="15" xfId="0" applyNumberFormat="1" applyFont="1" applyFill="1" applyBorder="1" applyAlignment="1" applyProtection="1">
      <alignment horizontal="center"/>
    </xf>
    <xf numFmtId="0" fontId="1" fillId="20" borderId="3" xfId="0" applyFont="1" applyFill="1" applyBorder="1" applyAlignment="1" applyProtection="1">
      <alignment horizontal="center"/>
    </xf>
    <xf numFmtId="168" fontId="7" fillId="20" borderId="19" xfId="0" applyNumberFormat="1" applyFont="1" applyFill="1" applyBorder="1" applyAlignment="1" applyProtection="1">
      <alignment horizontal="center"/>
    </xf>
    <xf numFmtId="169" fontId="7" fillId="20" borderId="15" xfId="0" applyNumberFormat="1" applyFont="1" applyFill="1" applyBorder="1" applyAlignment="1" applyProtection="1">
      <alignment horizontal="center"/>
    </xf>
    <xf numFmtId="3" fontId="7" fillId="20" borderId="15" xfId="0" applyNumberFormat="1" applyFont="1" applyFill="1" applyBorder="1" applyAlignment="1" applyProtection="1">
      <alignment horizontal="center"/>
    </xf>
    <xf numFmtId="0" fontId="0" fillId="20" borderId="3" xfId="0" applyFill="1" applyBorder="1" applyAlignment="1" applyProtection="1">
      <alignment horizontal="center"/>
    </xf>
    <xf numFmtId="0" fontId="0" fillId="20" borderId="20" xfId="0" applyFill="1" applyBorder="1" applyProtection="1"/>
    <xf numFmtId="167" fontId="0" fillId="20" borderId="21" xfId="0" applyNumberFormat="1" applyFill="1" applyBorder="1" applyAlignment="1" applyProtection="1">
      <alignment horizontal="center"/>
    </xf>
    <xf numFmtId="168" fontId="0" fillId="20" borderId="21" xfId="0" applyNumberFormat="1" applyFill="1" applyBorder="1" applyAlignment="1" applyProtection="1">
      <alignment horizontal="center"/>
    </xf>
    <xf numFmtId="169" fontId="0" fillId="20" borderId="22" xfId="0" applyNumberFormat="1" applyFill="1" applyBorder="1" applyAlignment="1" applyProtection="1">
      <alignment horizontal="center"/>
    </xf>
    <xf numFmtId="3" fontId="0" fillId="20" borderId="22" xfId="0" applyNumberFormat="1" applyFill="1" applyBorder="1" applyAlignment="1" applyProtection="1">
      <alignment horizontal="center"/>
    </xf>
    <xf numFmtId="0" fontId="0" fillId="20" borderId="16" xfId="0" applyFill="1" applyBorder="1" applyProtection="1"/>
    <xf numFmtId="0" fontId="0" fillId="21" borderId="9" xfId="0" applyFill="1" applyBorder="1" applyAlignment="1" applyProtection="1">
      <alignment horizontal="center"/>
      <protection locked="0"/>
    </xf>
    <xf numFmtId="167" fontId="0" fillId="21" borderId="0" xfId="0" applyNumberFormat="1" applyFill="1" applyProtection="1">
      <protection locked="0"/>
    </xf>
    <xf numFmtId="168" fontId="0" fillId="21" borderId="0" xfId="0" applyNumberFormat="1" applyFill="1" applyProtection="1">
      <protection locked="0"/>
    </xf>
    <xf numFmtId="169" fontId="0" fillId="21" borderId="2" xfId="0" applyNumberFormat="1" applyFill="1" applyBorder="1" applyProtection="1">
      <protection locked="0"/>
    </xf>
    <xf numFmtId="3" fontId="0" fillId="21" borderId="2" xfId="0" applyNumberFormat="1" applyFill="1" applyBorder="1" applyProtection="1">
      <protection locked="0"/>
    </xf>
    <xf numFmtId="0" fontId="0" fillId="21" borderId="3" xfId="0" applyFill="1" applyBorder="1" applyAlignment="1" applyProtection="1">
      <alignment horizontal="center"/>
      <protection locked="0"/>
    </xf>
    <xf numFmtId="0" fontId="0" fillId="21" borderId="10" xfId="0" applyFill="1" applyBorder="1" applyAlignment="1" applyProtection="1">
      <alignment horizontal="center"/>
      <protection locked="0"/>
    </xf>
    <xf numFmtId="0" fontId="0" fillId="21" borderId="3" xfId="0" applyFill="1" applyBorder="1" applyProtection="1">
      <protection locked="0"/>
    </xf>
    <xf numFmtId="0" fontId="0" fillId="21" borderId="3" xfId="0" applyFill="1" applyBorder="1" applyAlignment="1" applyProtection="1">
      <alignment horizontal="left"/>
      <protection locked="0"/>
    </xf>
    <xf numFmtId="0" fontId="24" fillId="20" borderId="63" xfId="0" applyFont="1" applyFill="1" applyBorder="1" applyAlignment="1" applyProtection="1">
      <alignment horizontal="left"/>
      <protection hidden="1"/>
    </xf>
    <xf numFmtId="167" fontId="12" fillId="20" borderId="61" xfId="0" applyNumberFormat="1" applyFont="1" applyFill="1" applyBorder="1" applyProtection="1">
      <protection locked="0"/>
    </xf>
    <xf numFmtId="168" fontId="12" fillId="20" borderId="61" xfId="0" applyNumberFormat="1" applyFont="1" applyFill="1" applyBorder="1" applyProtection="1">
      <protection locked="0"/>
    </xf>
    <xf numFmtId="169" fontId="12" fillId="20" borderId="61" xfId="0" applyNumberFormat="1" applyFont="1" applyFill="1" applyBorder="1" applyProtection="1">
      <protection locked="0"/>
    </xf>
    <xf numFmtId="3" fontId="12" fillId="20" borderId="61" xfId="0" applyNumberFormat="1" applyFont="1" applyFill="1" applyBorder="1" applyProtection="1">
      <protection locked="0"/>
    </xf>
    <xf numFmtId="0" fontId="12" fillId="20" borderId="62" xfId="0" applyFont="1" applyFill="1" applyBorder="1" applyAlignment="1" applyProtection="1">
      <alignment horizontal="left"/>
      <protection locked="0"/>
    </xf>
    <xf numFmtId="0" fontId="0" fillId="20" borderId="33" xfId="0" applyNumberFormat="1" applyFill="1" applyBorder="1" applyProtection="1">
      <protection hidden="1"/>
    </xf>
    <xf numFmtId="0" fontId="0" fillId="20" borderId="0" xfId="0" applyNumberFormat="1" applyFill="1" applyAlignment="1" applyProtection="1">
      <alignment horizontal="right"/>
      <protection hidden="1"/>
    </xf>
    <xf numFmtId="0" fontId="5" fillId="20" borderId="35" xfId="0" applyFont="1" applyFill="1" applyBorder="1" applyAlignment="1" applyProtection="1">
      <alignment horizontal="centerContinuous"/>
      <protection hidden="1"/>
    </xf>
    <xf numFmtId="0" fontId="0" fillId="20" borderId="36" xfId="0" applyFill="1" applyBorder="1" applyAlignment="1" applyProtection="1">
      <alignment horizontal="centerContinuous"/>
      <protection hidden="1"/>
    </xf>
    <xf numFmtId="0" fontId="0" fillId="20" borderId="37" xfId="0" applyFill="1" applyBorder="1" applyAlignment="1" applyProtection="1">
      <alignment horizontal="centerContinuous"/>
      <protection hidden="1"/>
    </xf>
    <xf numFmtId="0" fontId="5" fillId="20" borderId="41" xfId="0" applyFont="1" applyFill="1" applyBorder="1" applyAlignment="1" applyProtection="1">
      <alignment horizontal="center"/>
      <protection hidden="1"/>
    </xf>
    <xf numFmtId="0" fontId="0" fillId="20" borderId="18" xfId="0" applyFill="1" applyBorder="1" applyProtection="1">
      <protection hidden="1"/>
    </xf>
    <xf numFmtId="0" fontId="0" fillId="20" borderId="13" xfId="0" applyFill="1" applyBorder="1" applyProtection="1">
      <protection hidden="1"/>
    </xf>
    <xf numFmtId="0" fontId="0" fillId="20" borderId="42" xfId="0" applyFill="1" applyBorder="1" applyProtection="1">
      <protection hidden="1"/>
    </xf>
    <xf numFmtId="0" fontId="1" fillId="20" borderId="0" xfId="0" applyNumberFormat="1" applyFont="1" applyFill="1" applyBorder="1" applyAlignment="1" applyProtection="1">
      <alignment horizontal="center"/>
      <protection hidden="1"/>
    </xf>
    <xf numFmtId="0" fontId="1" fillId="20" borderId="0" xfId="0" applyFont="1" applyFill="1" applyBorder="1" applyAlignment="1" applyProtection="1">
      <alignment horizontal="center"/>
      <protection hidden="1"/>
    </xf>
    <xf numFmtId="0" fontId="0" fillId="20" borderId="19" xfId="0" applyFill="1" applyBorder="1" applyProtection="1">
      <protection hidden="1"/>
    </xf>
    <xf numFmtId="0" fontId="4" fillId="20" borderId="19" xfId="0" applyFont="1" applyFill="1" applyBorder="1" applyAlignment="1" applyProtection="1">
      <alignment horizontal="left"/>
      <protection hidden="1"/>
    </xf>
    <xf numFmtId="0" fontId="0" fillId="20" borderId="29" xfId="0" applyFill="1" applyBorder="1" applyProtection="1">
      <protection hidden="1"/>
    </xf>
    <xf numFmtId="0" fontId="0" fillId="20" borderId="21" xfId="0" applyFill="1" applyBorder="1" applyProtection="1">
      <protection hidden="1"/>
    </xf>
    <xf numFmtId="0" fontId="4" fillId="20" borderId="21" xfId="0" applyFont="1" applyFill="1" applyBorder="1" applyAlignment="1" applyProtection="1">
      <alignment horizontal="left"/>
      <protection hidden="1"/>
    </xf>
    <xf numFmtId="0" fontId="1" fillId="20" borderId="21" xfId="0" applyFont="1" applyFill="1" applyBorder="1" applyAlignment="1" applyProtection="1">
      <alignment horizontal="center"/>
      <protection hidden="1"/>
    </xf>
    <xf numFmtId="0" fontId="4" fillId="20" borderId="36" xfId="0" applyFont="1" applyFill="1" applyBorder="1" applyAlignment="1" applyProtection="1">
      <alignment horizontal="left"/>
      <protection hidden="1"/>
    </xf>
    <xf numFmtId="0" fontId="0" fillId="20" borderId="7" xfId="0" applyFill="1" applyBorder="1" applyProtection="1">
      <protection hidden="1"/>
    </xf>
    <xf numFmtId="0" fontId="0" fillId="20" borderId="36" xfId="0" applyFill="1" applyBorder="1" applyProtection="1">
      <protection hidden="1"/>
    </xf>
    <xf numFmtId="0" fontId="1" fillId="20" borderId="36" xfId="0" applyFont="1" applyFill="1" applyBorder="1" applyAlignment="1" applyProtection="1">
      <alignment horizontal="center"/>
      <protection hidden="1"/>
    </xf>
    <xf numFmtId="0" fontId="0" fillId="20" borderId="7" xfId="0" applyFill="1" applyBorder="1" applyAlignment="1" applyProtection="1">
      <alignment horizontal="center"/>
      <protection hidden="1"/>
    </xf>
    <xf numFmtId="0" fontId="0" fillId="20" borderId="37" xfId="0" applyFill="1" applyBorder="1" applyProtection="1">
      <protection hidden="1"/>
    </xf>
    <xf numFmtId="0" fontId="0" fillId="20" borderId="23" xfId="0" applyFill="1" applyBorder="1" applyAlignment="1" applyProtection="1">
      <alignment horizontal="center"/>
      <protection hidden="1"/>
    </xf>
    <xf numFmtId="0" fontId="1" fillId="20" borderId="18" xfId="0" applyFont="1" applyFill="1" applyBorder="1" applyAlignment="1" applyProtection="1">
      <alignment horizontal="right"/>
      <protection hidden="1"/>
    </xf>
    <xf numFmtId="0" fontId="0" fillId="20" borderId="18" xfId="0" applyFill="1" applyBorder="1" applyAlignment="1" applyProtection="1">
      <alignment horizontal="center"/>
      <protection hidden="1"/>
    </xf>
    <xf numFmtId="0" fontId="0" fillId="20" borderId="27" xfId="0" applyFill="1" applyBorder="1" applyAlignment="1" applyProtection="1">
      <alignment horizontal="center"/>
      <protection hidden="1"/>
    </xf>
    <xf numFmtId="0" fontId="0" fillId="20" borderId="0" xfId="0" applyFill="1" applyBorder="1" applyAlignment="1" applyProtection="1">
      <alignment horizontal="center"/>
      <protection hidden="1"/>
    </xf>
    <xf numFmtId="0" fontId="0" fillId="20" borderId="30" xfId="0" applyFill="1" applyBorder="1" applyAlignment="1" applyProtection="1">
      <alignment horizontal="center"/>
      <protection hidden="1"/>
    </xf>
    <xf numFmtId="0" fontId="0" fillId="20" borderId="31" xfId="0" applyFill="1" applyBorder="1" applyProtection="1">
      <protection hidden="1"/>
    </xf>
    <xf numFmtId="0" fontId="0" fillId="20" borderId="31" xfId="0" applyFill="1" applyBorder="1" applyAlignment="1" applyProtection="1">
      <alignment horizontal="center"/>
      <protection hidden="1"/>
    </xf>
    <xf numFmtId="0" fontId="0" fillId="20" borderId="23" xfId="0" applyFill="1" applyBorder="1" applyProtection="1">
      <protection hidden="1"/>
    </xf>
    <xf numFmtId="0" fontId="1" fillId="20" borderId="27" xfId="0" applyFont="1" applyFill="1" applyBorder="1" applyAlignment="1" applyProtection="1">
      <alignment horizontal="center"/>
      <protection hidden="1"/>
    </xf>
    <xf numFmtId="0" fontId="0" fillId="20" borderId="27" xfId="0" applyFill="1" applyBorder="1" applyProtection="1">
      <protection hidden="1"/>
    </xf>
    <xf numFmtId="0" fontId="8" fillId="20" borderId="30" xfId="0" applyFont="1" applyFill="1" applyBorder="1" applyAlignment="1" applyProtection="1">
      <alignment horizontal="center"/>
      <protection hidden="1"/>
    </xf>
    <xf numFmtId="0" fontId="8" fillId="20" borderId="30" xfId="0" applyFont="1" applyFill="1" applyBorder="1" applyAlignment="1" applyProtection="1">
      <alignment horizontal="left"/>
      <protection hidden="1"/>
    </xf>
    <xf numFmtId="0" fontId="4" fillId="20" borderId="0" xfId="0" applyFont="1" applyFill="1" applyBorder="1" applyAlignment="1" applyProtection="1">
      <alignment horizontal="left"/>
      <protection hidden="1"/>
    </xf>
    <xf numFmtId="0" fontId="1" fillId="20" borderId="5" xfId="0" applyFont="1" applyFill="1" applyBorder="1" applyAlignment="1" applyProtection="1">
      <alignment horizontal="left"/>
      <protection hidden="1"/>
    </xf>
    <xf numFmtId="0" fontId="1" fillId="20" borderId="52" xfId="0" applyNumberFormat="1" applyFont="1" applyFill="1" applyBorder="1" applyProtection="1">
      <protection hidden="1"/>
    </xf>
    <xf numFmtId="0" fontId="0" fillId="20" borderId="54" xfId="0" applyFill="1" applyBorder="1" applyProtection="1">
      <protection hidden="1"/>
    </xf>
    <xf numFmtId="0" fontId="4" fillId="20" borderId="52" xfId="0" applyFont="1" applyFill="1" applyBorder="1" applyAlignment="1" applyProtection="1">
      <protection hidden="1"/>
    </xf>
    <xf numFmtId="0" fontId="0" fillId="20" borderId="53" xfId="0" applyNumberFormat="1" applyFill="1" applyBorder="1" applyProtection="1">
      <protection hidden="1"/>
    </xf>
    <xf numFmtId="0" fontId="4" fillId="20" borderId="56" xfId="0" applyFont="1" applyFill="1" applyBorder="1" applyAlignment="1" applyProtection="1">
      <alignment horizontal="left"/>
      <protection hidden="1"/>
    </xf>
    <xf numFmtId="0" fontId="4" fillId="20" borderId="55" xfId="0" applyNumberFormat="1" applyFont="1" applyFill="1" applyBorder="1" applyProtection="1">
      <protection hidden="1"/>
    </xf>
    <xf numFmtId="0" fontId="0" fillId="20" borderId="2" xfId="0" applyFill="1" applyBorder="1" applyProtection="1">
      <protection hidden="1"/>
    </xf>
    <xf numFmtId="0" fontId="4" fillId="20" borderId="55" xfId="0" applyFont="1" applyFill="1" applyBorder="1" applyAlignment="1" applyProtection="1">
      <protection hidden="1"/>
    </xf>
    <xf numFmtId="0" fontId="0" fillId="20" borderId="0" xfId="0" applyNumberFormat="1" applyFill="1" applyBorder="1" applyProtection="1">
      <protection hidden="1"/>
    </xf>
    <xf numFmtId="0" fontId="0" fillId="20" borderId="55" xfId="0" applyNumberFormat="1" applyFill="1" applyBorder="1" applyProtection="1">
      <protection hidden="1"/>
    </xf>
    <xf numFmtId="0" fontId="1" fillId="20" borderId="55" xfId="0" applyFont="1" applyFill="1" applyBorder="1" applyAlignment="1" applyProtection="1">
      <protection hidden="1"/>
    </xf>
    <xf numFmtId="0" fontId="1" fillId="20" borderId="0" xfId="0" applyNumberFormat="1" applyFont="1" applyFill="1" applyBorder="1" applyProtection="1">
      <protection hidden="1"/>
    </xf>
    <xf numFmtId="0" fontId="4" fillId="20" borderId="58" xfId="0" applyFont="1" applyFill="1" applyBorder="1" applyAlignment="1" applyProtection="1">
      <alignment horizontal="left"/>
      <protection hidden="1"/>
    </xf>
    <xf numFmtId="0" fontId="0" fillId="20" borderId="57" xfId="0" applyNumberFormat="1" applyFill="1" applyBorder="1" applyProtection="1">
      <protection hidden="1"/>
    </xf>
    <xf numFmtId="0" fontId="0" fillId="20" borderId="22" xfId="0" applyFill="1" applyBorder="1" applyProtection="1">
      <protection hidden="1"/>
    </xf>
    <xf numFmtId="0" fontId="4" fillId="20" borderId="57" xfId="0" applyFont="1" applyFill="1" applyBorder="1" applyAlignment="1" applyProtection="1">
      <protection hidden="1"/>
    </xf>
    <xf numFmtId="0" fontId="0" fillId="20" borderId="21" xfId="0" applyNumberFormat="1" applyFill="1" applyBorder="1" applyProtection="1">
      <protection hidden="1"/>
    </xf>
    <xf numFmtId="0" fontId="1" fillId="20" borderId="31" xfId="0" applyFont="1" applyFill="1" applyBorder="1" applyAlignment="1" applyProtection="1">
      <alignment horizontal="left"/>
      <protection hidden="1"/>
    </xf>
    <xf numFmtId="0" fontId="2" fillId="20" borderId="31" xfId="0" applyNumberFormat="1" applyFont="1" applyFill="1" applyBorder="1" applyProtection="1">
      <protection hidden="1"/>
    </xf>
    <xf numFmtId="0" fontId="1" fillId="20" borderId="31" xfId="0" applyFont="1" applyFill="1" applyBorder="1" applyAlignment="1" applyProtection="1">
      <protection hidden="1"/>
    </xf>
    <xf numFmtId="0" fontId="0" fillId="20" borderId="31" xfId="0" applyNumberFormat="1" applyFill="1" applyBorder="1" applyProtection="1">
      <protection hidden="1"/>
    </xf>
    <xf numFmtId="0" fontId="1" fillId="20" borderId="0" xfId="0" applyFont="1" applyFill="1" applyAlignment="1" applyProtection="1">
      <alignment horizontal="left"/>
      <protection hidden="1"/>
    </xf>
    <xf numFmtId="0" fontId="0" fillId="20" borderId="0" xfId="0" applyNumberFormat="1" applyFill="1" applyProtection="1">
      <protection hidden="1"/>
    </xf>
    <xf numFmtId="0" fontId="1" fillId="20" borderId="0" xfId="0" applyFont="1" applyFill="1" applyAlignment="1" applyProtection="1">
      <protection hidden="1"/>
    </xf>
    <xf numFmtId="0" fontId="1" fillId="20" borderId="0" xfId="0" applyFont="1" applyFill="1" applyBorder="1" applyAlignment="1" applyProtection="1">
      <alignment horizontal="left"/>
      <protection hidden="1"/>
    </xf>
    <xf numFmtId="0" fontId="1" fillId="20" borderId="0" xfId="0" applyFont="1" applyFill="1" applyBorder="1" applyAlignment="1" applyProtection="1">
      <protection hidden="1"/>
    </xf>
    <xf numFmtId="0" fontId="2" fillId="20" borderId="18" xfId="0" applyFont="1" applyFill="1" applyBorder="1" applyAlignment="1" applyProtection="1">
      <alignment horizontal="center"/>
      <protection hidden="1"/>
    </xf>
    <xf numFmtId="0" fontId="3" fillId="20" borderId="18" xfId="0" applyFont="1" applyFill="1" applyBorder="1" applyAlignment="1" applyProtection="1">
      <alignment horizontal="left"/>
      <protection hidden="1"/>
    </xf>
    <xf numFmtId="0" fontId="1" fillId="20" borderId="18" xfId="0" applyNumberFormat="1" applyFont="1" applyFill="1" applyBorder="1" applyProtection="1">
      <protection hidden="1"/>
    </xf>
    <xf numFmtId="0" fontId="1" fillId="20" borderId="18" xfId="0" applyFont="1" applyFill="1" applyBorder="1" applyAlignment="1" applyProtection="1">
      <protection hidden="1"/>
    </xf>
    <xf numFmtId="0" fontId="2" fillId="20" borderId="18" xfId="0" applyNumberFormat="1" applyFont="1" applyFill="1" applyBorder="1" applyAlignment="1" applyProtection="1">
      <alignment horizontal="center"/>
      <protection hidden="1"/>
    </xf>
    <xf numFmtId="0" fontId="0" fillId="20" borderId="35" xfId="0" applyFill="1" applyBorder="1" applyProtection="1">
      <protection hidden="1"/>
    </xf>
    <xf numFmtId="0" fontId="4" fillId="20" borderId="0" xfId="0" applyFont="1" applyFill="1" applyProtection="1">
      <protection hidden="1"/>
    </xf>
    <xf numFmtId="0" fontId="4" fillId="20" borderId="0" xfId="0" applyNumberFormat="1" applyFont="1" applyFill="1" applyBorder="1" applyProtection="1">
      <protection hidden="1"/>
    </xf>
    <xf numFmtId="2" fontId="1" fillId="4" borderId="42" xfId="0" applyNumberFormat="1" applyFont="1" applyFill="1" applyBorder="1" applyAlignment="1" applyProtection="1">
      <alignment horizontal="center"/>
      <protection hidden="1"/>
    </xf>
    <xf numFmtId="0" fontId="0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166" fontId="0" fillId="4" borderId="0" xfId="0" applyNumberFormat="1" applyFont="1" applyFill="1" applyAlignment="1" applyProtection="1">
      <alignment horizontal="center"/>
      <protection hidden="1"/>
    </xf>
    <xf numFmtId="164" fontId="0" fillId="4" borderId="0" xfId="0" applyNumberFormat="1" applyFont="1" applyFill="1" applyAlignment="1" applyProtection="1">
      <alignment horizontal="center"/>
      <protection hidden="1"/>
    </xf>
    <xf numFmtId="1" fontId="0" fillId="4" borderId="42" xfId="0" applyNumberFormat="1" applyFill="1" applyBorder="1" applyAlignment="1" applyProtection="1">
      <alignment horizontal="center"/>
      <protection hidden="1"/>
    </xf>
    <xf numFmtId="1" fontId="1" fillId="4" borderId="42" xfId="0" applyNumberFormat="1" applyFont="1" applyFill="1" applyBorder="1" applyAlignment="1" applyProtection="1">
      <alignment horizontal="center"/>
      <protection hidden="1"/>
    </xf>
    <xf numFmtId="166" fontId="16" fillId="4" borderId="42" xfId="0" applyNumberFormat="1" applyFont="1" applyFill="1" applyBorder="1" applyAlignment="1" applyProtection="1">
      <alignment horizontal="center"/>
      <protection hidden="1"/>
    </xf>
    <xf numFmtId="1" fontId="16" fillId="4" borderId="42" xfId="0" applyNumberFormat="1" applyFont="1" applyFill="1" applyBorder="1" applyAlignment="1" applyProtection="1">
      <alignment horizontal="center"/>
      <protection hidden="1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43" fontId="0" fillId="4" borderId="0" xfId="3" applyFont="1" applyFill="1" applyProtection="1">
      <protection hidden="1"/>
    </xf>
    <xf numFmtId="43" fontId="0" fillId="4" borderId="0" xfId="3" applyFont="1" applyFill="1" applyAlignment="1" applyProtection="1">
      <alignment horizontal="center"/>
      <protection hidden="1"/>
    </xf>
    <xf numFmtId="43" fontId="1" fillId="3" borderId="18" xfId="3" applyFont="1" applyFill="1" applyBorder="1" applyAlignment="1" applyProtection="1">
      <alignment horizontal="center"/>
      <protection hidden="1"/>
    </xf>
    <xf numFmtId="43" fontId="1" fillId="3" borderId="21" xfId="3" applyFont="1" applyFill="1" applyBorder="1" applyAlignment="1" applyProtection="1">
      <alignment horizontal="center"/>
      <protection hidden="1"/>
    </xf>
    <xf numFmtId="43" fontId="0" fillId="3" borderId="31" xfId="3" applyFont="1" applyFill="1" applyBorder="1" applyAlignment="1" applyProtection="1">
      <alignment horizontal="center"/>
      <protection hidden="1"/>
    </xf>
    <xf numFmtId="43" fontId="4" fillId="3" borderId="25" xfId="3" applyFont="1" applyFill="1" applyBorder="1" applyAlignment="1" applyProtection="1">
      <alignment horizontal="right"/>
      <protection hidden="1"/>
    </xf>
    <xf numFmtId="43" fontId="4" fillId="3" borderId="19" xfId="3" applyFont="1" applyFill="1" applyBorder="1" applyAlignment="1" applyProtection="1">
      <alignment horizontal="right"/>
      <protection hidden="1"/>
    </xf>
    <xf numFmtId="43" fontId="0" fillId="3" borderId="31" xfId="3" applyFont="1" applyFill="1" applyBorder="1" applyAlignment="1" applyProtection="1">
      <alignment horizontal="right"/>
      <protection hidden="1"/>
    </xf>
    <xf numFmtId="43" fontId="0" fillId="3" borderId="0" xfId="3" applyFont="1" applyFill="1" applyBorder="1" applyProtection="1">
      <protection hidden="1"/>
    </xf>
    <xf numFmtId="43" fontId="0" fillId="3" borderId="31" xfId="3" applyFont="1" applyFill="1" applyBorder="1" applyProtection="1">
      <protection hidden="1"/>
    </xf>
    <xf numFmtId="43" fontId="0" fillId="0" borderId="0" xfId="3" applyFont="1" applyFill="1" applyProtection="1">
      <protection hidden="1"/>
    </xf>
    <xf numFmtId="43" fontId="0" fillId="4" borderId="0" xfId="3" applyFont="1" applyFill="1" applyBorder="1" applyProtection="1">
      <protection hidden="1"/>
    </xf>
    <xf numFmtId="177" fontId="0" fillId="4" borderId="0" xfId="3" applyNumberFormat="1" applyFont="1" applyFill="1" applyProtection="1">
      <protection hidden="1"/>
    </xf>
    <xf numFmtId="177" fontId="0" fillId="4" borderId="0" xfId="3" applyNumberFormat="1" applyFont="1" applyFill="1" applyBorder="1" applyProtection="1">
      <protection hidden="1"/>
    </xf>
    <xf numFmtId="177" fontId="1" fillId="3" borderId="13" xfId="3" applyNumberFormat="1" applyFont="1" applyFill="1" applyBorder="1" applyAlignment="1" applyProtection="1">
      <alignment horizontal="center"/>
      <protection hidden="1"/>
    </xf>
    <xf numFmtId="177" fontId="1" fillId="3" borderId="16" xfId="3" applyNumberFormat="1" applyFont="1" applyFill="1" applyBorder="1" applyAlignment="1" applyProtection="1">
      <alignment horizontal="center"/>
      <protection hidden="1"/>
    </xf>
    <xf numFmtId="177" fontId="0" fillId="3" borderId="33" xfId="3" applyNumberFormat="1" applyFont="1" applyFill="1" applyBorder="1" applyAlignment="1" applyProtection="1">
      <alignment horizontal="center"/>
      <protection hidden="1"/>
    </xf>
    <xf numFmtId="177" fontId="4" fillId="3" borderId="26" xfId="3" applyNumberFormat="1" applyFont="1" applyFill="1" applyBorder="1" applyAlignment="1" applyProtection="1">
      <alignment horizontal="right"/>
      <protection hidden="1"/>
    </xf>
    <xf numFmtId="177" fontId="4" fillId="3" borderId="29" xfId="3" applyNumberFormat="1" applyFont="1" applyFill="1" applyBorder="1" applyAlignment="1" applyProtection="1">
      <alignment horizontal="right"/>
      <protection hidden="1"/>
    </xf>
    <xf numFmtId="177" fontId="0" fillId="3" borderId="33" xfId="3" applyNumberFormat="1" applyFont="1" applyFill="1" applyBorder="1" applyAlignment="1" applyProtection="1">
      <alignment horizontal="right"/>
      <protection hidden="1"/>
    </xf>
    <xf numFmtId="177" fontId="0" fillId="3" borderId="3" xfId="3" applyNumberFormat="1" applyFont="1" applyFill="1" applyBorder="1" applyProtection="1">
      <protection hidden="1"/>
    </xf>
    <xf numFmtId="177" fontId="0" fillId="3" borderId="33" xfId="3" applyNumberFormat="1" applyFont="1" applyFill="1" applyBorder="1" applyProtection="1">
      <protection hidden="1"/>
    </xf>
    <xf numFmtId="177" fontId="0" fillId="0" borderId="0" xfId="3" applyNumberFormat="1" applyFont="1" applyFill="1" applyProtection="1">
      <protection hidden="1"/>
    </xf>
    <xf numFmtId="43" fontId="0" fillId="4" borderId="0" xfId="3" applyFont="1" applyFill="1" applyBorder="1" applyAlignment="1" applyProtection="1">
      <alignment horizontal="right"/>
      <protection hidden="1"/>
    </xf>
    <xf numFmtId="43" fontId="5" fillId="3" borderId="36" xfId="3" applyFont="1" applyFill="1" applyBorder="1" applyAlignment="1" applyProtection="1">
      <alignment horizontal="center"/>
      <protection hidden="1"/>
    </xf>
    <xf numFmtId="43" fontId="1" fillId="3" borderId="18" xfId="3" applyFont="1" applyFill="1" applyBorder="1" applyAlignment="1" applyProtection="1">
      <alignment horizontal="right"/>
      <protection hidden="1"/>
    </xf>
    <xf numFmtId="43" fontId="1" fillId="3" borderId="0" xfId="3" applyFont="1" applyFill="1" applyBorder="1" applyAlignment="1" applyProtection="1">
      <alignment horizontal="right"/>
      <protection hidden="1"/>
    </xf>
    <xf numFmtId="43" fontId="1" fillId="3" borderId="31" xfId="3" applyFont="1" applyFill="1" applyBorder="1" applyAlignment="1" applyProtection="1">
      <alignment horizontal="right"/>
      <protection hidden="1"/>
    </xf>
    <xf numFmtId="43" fontId="0" fillId="3" borderId="35" xfId="3" applyFont="1" applyFill="1" applyBorder="1" applyProtection="1">
      <protection hidden="1"/>
    </xf>
    <xf numFmtId="43" fontId="1" fillId="3" borderId="23" xfId="3" applyFont="1" applyFill="1" applyBorder="1" applyAlignment="1" applyProtection="1">
      <alignment horizontal="center"/>
      <protection hidden="1"/>
    </xf>
    <xf numFmtId="43" fontId="1" fillId="3" borderId="39" xfId="3" applyFont="1" applyFill="1" applyBorder="1" applyAlignment="1" applyProtection="1">
      <alignment horizontal="center"/>
      <protection hidden="1"/>
    </xf>
    <xf numFmtId="43" fontId="1" fillId="3" borderId="30" xfId="3" applyFont="1" applyFill="1" applyBorder="1" applyAlignment="1" applyProtection="1">
      <alignment horizontal="center"/>
      <protection hidden="1"/>
    </xf>
    <xf numFmtId="43" fontId="0" fillId="3" borderId="23" xfId="3" applyFont="1" applyFill="1" applyBorder="1" applyProtection="1">
      <protection hidden="1"/>
    </xf>
    <xf numFmtId="43" fontId="0" fillId="3" borderId="27" xfId="3" applyFont="1" applyFill="1" applyBorder="1" applyProtection="1">
      <protection hidden="1"/>
    </xf>
    <xf numFmtId="43" fontId="0" fillId="3" borderId="30" xfId="3" applyFont="1" applyFill="1" applyBorder="1" applyProtection="1">
      <protection hidden="1"/>
    </xf>
    <xf numFmtId="43" fontId="0" fillId="3" borderId="37" xfId="3" applyFont="1" applyFill="1" applyBorder="1" applyProtection="1">
      <protection hidden="1"/>
    </xf>
    <xf numFmtId="43" fontId="1" fillId="3" borderId="38" xfId="3" applyFont="1" applyFill="1" applyBorder="1" applyAlignment="1" applyProtection="1">
      <alignment horizontal="center"/>
      <protection hidden="1"/>
    </xf>
    <xf numFmtId="43" fontId="1" fillId="3" borderId="40" xfId="3" applyFont="1" applyFill="1" applyBorder="1" applyAlignment="1" applyProtection="1">
      <alignment horizontal="center"/>
      <protection hidden="1"/>
    </xf>
    <xf numFmtId="43" fontId="0" fillId="3" borderId="32" xfId="3" applyFont="1" applyFill="1" applyBorder="1" applyAlignment="1" applyProtection="1">
      <alignment horizontal="center"/>
      <protection hidden="1"/>
    </xf>
    <xf numFmtId="43" fontId="4" fillId="3" borderId="24" xfId="3" applyFont="1" applyFill="1" applyBorder="1" applyAlignment="1" applyProtection="1">
      <alignment horizontal="right"/>
      <protection hidden="1"/>
    </xf>
    <xf numFmtId="43" fontId="4" fillId="3" borderId="28" xfId="3" applyFont="1" applyFill="1" applyBorder="1" applyAlignment="1" applyProtection="1">
      <alignment horizontal="right"/>
      <protection hidden="1"/>
    </xf>
    <xf numFmtId="43" fontId="0" fillId="3" borderId="32" xfId="3" applyFont="1" applyFill="1" applyBorder="1" applyAlignment="1" applyProtection="1">
      <alignment horizontal="right"/>
      <protection hidden="1"/>
    </xf>
    <xf numFmtId="43" fontId="0" fillId="3" borderId="34" xfId="3" applyFont="1" applyFill="1" applyBorder="1" applyProtection="1">
      <protection hidden="1"/>
    </xf>
    <xf numFmtId="43" fontId="0" fillId="3" borderId="32" xfId="3" applyFont="1" applyFill="1" applyBorder="1" applyProtection="1">
      <protection hidden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EA6FB"/>
      <rgbColor rgb="0086DA85"/>
      <rgbColor rgb="00267FCD"/>
      <rgbColor rgb="00E4EF5F"/>
      <rgbColor rgb="00AB4268"/>
      <rgbColor rgb="0073AECF"/>
      <rgbColor rgb="00E56D66"/>
      <rgbColor rgb="0054BA62"/>
      <rgbColor rgb="00575FBC"/>
      <rgbColor rgb="00D0A459"/>
      <rgbColor rgb="00AE86DF"/>
      <rgbColor rgb="00008080"/>
      <rgbColor rgb="00C0C0C0"/>
      <rgbColor rgb="00808080"/>
      <rgbColor rgb="00808AFF"/>
      <rgbColor rgb="00FCC385"/>
      <rgbColor rgb="00FFFF6A"/>
      <rgbColor rgb="0098FD9B"/>
      <rgbColor rgb="00FF9999"/>
      <rgbColor rgb="00C175FB"/>
      <rgbColor rgb="00DD9FDA"/>
      <rgbColor rgb="0081FFFF"/>
      <rgbColor rgb="006775FE"/>
      <rgbColor rgb="00FCC130"/>
      <rgbColor rgb="00FFFF00"/>
      <rgbColor rgb="0068FA4B"/>
      <rgbColor rgb="00FF6666"/>
      <rgbColor rgb="00A467D1"/>
      <rgbColor rgb="00F982F5"/>
      <rgbColor rgb="0033FFFF"/>
      <rgbColor rgb="000015FF"/>
      <rgbColor rgb="00FF7F00"/>
      <rgbColor rgb="00FFFF00"/>
      <rgbColor rgb="0000FF00"/>
      <rgbColor rgb="00FF0000"/>
      <rgbColor rgb="007F00FF"/>
      <rgbColor rgb="00FF00FF"/>
      <rgbColor rgb="0000FFFF"/>
      <rgbColor rgb="0086ADFC"/>
      <rgbColor rgb="0088D3E0"/>
      <rgbColor rgb="0099CC99"/>
      <rgbColor rgb="00D9843B"/>
      <rgbColor rgb="00E1B061"/>
      <rgbColor rgb="00C39BAA"/>
      <rgbColor rgb="00FEF487"/>
      <rgbColor rgb="00FFFDDC"/>
      <rgbColor rgb="001C1C1C"/>
      <rgbColor rgb="00383838"/>
      <rgbColor rgb="00545454"/>
      <rgbColor rgb="00707070"/>
      <rgbColor rgb="008F8F8F"/>
      <rgbColor rgb="00ABABAB"/>
      <rgbColor rgb="00C7C7C7"/>
      <rgbColor rgb="00E3E3E3"/>
    </indexedColors>
    <mruColors>
      <color rgb="FF99CC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Conc. F'!$M$12:$M$62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11.111111111111102</c:v>
                </c:pt>
                <c:pt idx="17">
                  <c:v>22.222222222222204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2601856"/>
        <c:axId val="75773056"/>
      </c:areaChart>
      <c:catAx>
        <c:axId val="8260185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5773056"/>
        <c:crosses val="autoZero"/>
        <c:lblAlgn val="ctr"/>
        <c:lblOffset val="100"/>
        <c:tickLblSkip val="10"/>
        <c:tickMarkSkip val="1"/>
      </c:catAx>
      <c:valAx>
        <c:axId val="75773056"/>
        <c:scaling>
          <c:orientation val="minMax"/>
        </c:scaling>
        <c:delete val="1"/>
        <c:axPos val="l"/>
        <c:numFmt formatCode="General" sourceLinked="1"/>
        <c:tickLblPos val="nextTo"/>
        <c:crossAx val="826018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A'!$L$12:$L$62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A'!$O$12:$O$62</c:f>
              <c:numCache>
                <c:formatCode>General</c:formatCode>
                <c:ptCount val="51"/>
                <c:pt idx="0">
                  <c:v>59.950000005144027</c:v>
                </c:pt>
                <c:pt idx="1">
                  <c:v>59.806000005144028</c:v>
                </c:pt>
                <c:pt idx="2">
                  <c:v>59.374000005144026</c:v>
                </c:pt>
                <c:pt idx="3">
                  <c:v>58.654000005144027</c:v>
                </c:pt>
                <c:pt idx="4">
                  <c:v>57.646000005144025</c:v>
                </c:pt>
                <c:pt idx="5">
                  <c:v>56.350000005144025</c:v>
                </c:pt>
                <c:pt idx="6">
                  <c:v>54.766000005144022</c:v>
                </c:pt>
                <c:pt idx="7">
                  <c:v>52.894000005144022</c:v>
                </c:pt>
                <c:pt idx="8">
                  <c:v>50.734000005144026</c:v>
                </c:pt>
                <c:pt idx="9">
                  <c:v>48.286000005144025</c:v>
                </c:pt>
                <c:pt idx="10">
                  <c:v>45.550000005144028</c:v>
                </c:pt>
                <c:pt idx="11">
                  <c:v>42.526000005144027</c:v>
                </c:pt>
                <c:pt idx="12">
                  <c:v>39.21400000514403</c:v>
                </c:pt>
                <c:pt idx="13">
                  <c:v>35.614000005144035</c:v>
                </c:pt>
                <c:pt idx="14">
                  <c:v>31.726000005144034</c:v>
                </c:pt>
                <c:pt idx="15">
                  <c:v>27.550000005144035</c:v>
                </c:pt>
                <c:pt idx="16">
                  <c:v>23.08600000514403</c:v>
                </c:pt>
                <c:pt idx="17">
                  <c:v>18.334000005144027</c:v>
                </c:pt>
                <c:pt idx="18">
                  <c:v>13.294000005144014</c:v>
                </c:pt>
                <c:pt idx="19">
                  <c:v>7.9660000051440107</c:v>
                </c:pt>
                <c:pt idx="20">
                  <c:v>2.350000005144004</c:v>
                </c:pt>
                <c:pt idx="21">
                  <c:v>-3.5539999948559995</c:v>
                </c:pt>
                <c:pt idx="22">
                  <c:v>-9.7459999948559997</c:v>
                </c:pt>
                <c:pt idx="23">
                  <c:v>-16.225999994856032</c:v>
                </c:pt>
                <c:pt idx="24">
                  <c:v>-22.993999994856019</c:v>
                </c:pt>
                <c:pt idx="25">
                  <c:v>-29.950027772633739</c:v>
                </c:pt>
                <c:pt idx="26">
                  <c:v>-29.950027772633739</c:v>
                </c:pt>
                <c:pt idx="27">
                  <c:v>-29.950027772633739</c:v>
                </c:pt>
                <c:pt idx="28">
                  <c:v>-29.950027772633739</c:v>
                </c:pt>
                <c:pt idx="29">
                  <c:v>-29.950027772633739</c:v>
                </c:pt>
                <c:pt idx="30">
                  <c:v>-29.950027772633739</c:v>
                </c:pt>
                <c:pt idx="31">
                  <c:v>-29.950027772633739</c:v>
                </c:pt>
                <c:pt idx="32">
                  <c:v>-29.950027772633739</c:v>
                </c:pt>
                <c:pt idx="33">
                  <c:v>-29.950027772633739</c:v>
                </c:pt>
                <c:pt idx="34">
                  <c:v>-29.950027772633739</c:v>
                </c:pt>
                <c:pt idx="35">
                  <c:v>-29.950027772633739</c:v>
                </c:pt>
                <c:pt idx="36">
                  <c:v>-29.950027772633739</c:v>
                </c:pt>
                <c:pt idx="37">
                  <c:v>-29.950027772633739</c:v>
                </c:pt>
                <c:pt idx="38">
                  <c:v>-29.950027772633739</c:v>
                </c:pt>
                <c:pt idx="39">
                  <c:v>-29.950027772633739</c:v>
                </c:pt>
                <c:pt idx="40">
                  <c:v>-29.950027772633739</c:v>
                </c:pt>
                <c:pt idx="41">
                  <c:v>-29.950027772633739</c:v>
                </c:pt>
                <c:pt idx="42">
                  <c:v>-29.950027772633739</c:v>
                </c:pt>
                <c:pt idx="43">
                  <c:v>-29.950027772633739</c:v>
                </c:pt>
                <c:pt idx="44">
                  <c:v>-29.950027772633739</c:v>
                </c:pt>
                <c:pt idx="45">
                  <c:v>-29.950027772633739</c:v>
                </c:pt>
                <c:pt idx="46">
                  <c:v>-29.950027772633739</c:v>
                </c:pt>
                <c:pt idx="47">
                  <c:v>-29.950027772633739</c:v>
                </c:pt>
                <c:pt idx="48">
                  <c:v>-29.950027772633739</c:v>
                </c:pt>
                <c:pt idx="49">
                  <c:v>-29.950027772633739</c:v>
                </c:pt>
                <c:pt idx="50">
                  <c:v>-29.950027772633739</c:v>
                </c:pt>
              </c:numCache>
            </c:numRef>
          </c:val>
        </c:ser>
        <c:axId val="77533568"/>
        <c:axId val="77535104"/>
      </c:areaChart>
      <c:catAx>
        <c:axId val="7753356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77535104"/>
        <c:crosses val="autoZero"/>
        <c:lblAlgn val="ctr"/>
        <c:lblOffset val="100"/>
        <c:tickLblSkip val="10"/>
        <c:tickMarkSkip val="1"/>
      </c:catAx>
      <c:valAx>
        <c:axId val="7753510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5335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A'!$L$12:$L$62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A'!$Q$12:$Q$62</c:f>
              <c:numCache>
                <c:formatCode>General</c:formatCode>
                <c:ptCount val="51"/>
                <c:pt idx="0">
                  <c:v>0</c:v>
                </c:pt>
                <c:pt idx="1">
                  <c:v>43.129440003703699</c:v>
                </c:pt>
                <c:pt idx="2">
                  <c:v>86.05152000740739</c:v>
                </c:pt>
                <c:pt idx="3">
                  <c:v>128.55888001111111</c:v>
                </c:pt>
                <c:pt idx="4">
                  <c:v>170.4441600148148</c:v>
                </c:pt>
                <c:pt idx="5">
                  <c:v>211.50000001851851</c:v>
                </c:pt>
                <c:pt idx="6">
                  <c:v>251.51904002222224</c:v>
                </c:pt>
                <c:pt idx="7">
                  <c:v>290.29392002592596</c:v>
                </c:pt>
                <c:pt idx="8">
                  <c:v>327.61728002962957</c:v>
                </c:pt>
                <c:pt idx="9">
                  <c:v>363.28176003333328</c:v>
                </c:pt>
                <c:pt idx="10">
                  <c:v>397.08000003703694</c:v>
                </c:pt>
                <c:pt idx="11">
                  <c:v>428.80464004074065</c:v>
                </c:pt>
                <c:pt idx="12">
                  <c:v>458.24832004444437</c:v>
                </c:pt>
                <c:pt idx="13">
                  <c:v>485.20368004814793</c:v>
                </c:pt>
                <c:pt idx="14">
                  <c:v>509.46336005185174</c:v>
                </c:pt>
                <c:pt idx="15">
                  <c:v>530.8200000555554</c:v>
                </c:pt>
                <c:pt idx="16">
                  <c:v>549.06624005925914</c:v>
                </c:pt>
                <c:pt idx="17">
                  <c:v>563.99472006296287</c:v>
                </c:pt>
                <c:pt idx="18">
                  <c:v>575.39808006666658</c:v>
                </c:pt>
                <c:pt idx="19">
                  <c:v>583.06896007037017</c:v>
                </c:pt>
                <c:pt idx="20">
                  <c:v>586.80000007407398</c:v>
                </c:pt>
                <c:pt idx="21">
                  <c:v>586.38384007777768</c:v>
                </c:pt>
                <c:pt idx="22">
                  <c:v>581.61312008148138</c:v>
                </c:pt>
                <c:pt idx="23">
                  <c:v>572.28048008518499</c:v>
                </c:pt>
                <c:pt idx="24">
                  <c:v>558.17856008888884</c:v>
                </c:pt>
                <c:pt idx="25">
                  <c:v>539.1004999074072</c:v>
                </c:pt>
                <c:pt idx="26">
                  <c:v>517.53647991111086</c:v>
                </c:pt>
                <c:pt idx="27">
                  <c:v>495.97245991481458</c:v>
                </c:pt>
                <c:pt idx="28">
                  <c:v>474.40843991851818</c:v>
                </c:pt>
                <c:pt idx="29">
                  <c:v>452.84441992222196</c:v>
                </c:pt>
                <c:pt idx="30">
                  <c:v>431.28039992592556</c:v>
                </c:pt>
                <c:pt idx="31">
                  <c:v>409.71637992962934</c:v>
                </c:pt>
                <c:pt idx="32">
                  <c:v>388.15235993333295</c:v>
                </c:pt>
                <c:pt idx="33">
                  <c:v>366.58833993703672</c:v>
                </c:pt>
                <c:pt idx="34">
                  <c:v>345.02431994074033</c:v>
                </c:pt>
                <c:pt idx="35">
                  <c:v>323.4602999444441</c:v>
                </c:pt>
                <c:pt idx="36">
                  <c:v>301.89627994814771</c:v>
                </c:pt>
                <c:pt idx="37">
                  <c:v>280.33225995185148</c:v>
                </c:pt>
                <c:pt idx="38">
                  <c:v>258.76823995555509</c:v>
                </c:pt>
                <c:pt idx="39">
                  <c:v>237.20421995925884</c:v>
                </c:pt>
                <c:pt idx="40">
                  <c:v>215.64019996296247</c:v>
                </c:pt>
                <c:pt idx="41">
                  <c:v>194.07617996666622</c:v>
                </c:pt>
                <c:pt idx="42">
                  <c:v>172.51215997036985</c:v>
                </c:pt>
                <c:pt idx="43">
                  <c:v>150.9481399740736</c:v>
                </c:pt>
                <c:pt idx="44">
                  <c:v>129.38411997777723</c:v>
                </c:pt>
                <c:pt idx="45">
                  <c:v>107.82009998148087</c:v>
                </c:pt>
                <c:pt idx="46">
                  <c:v>86.256079985184613</c:v>
                </c:pt>
                <c:pt idx="47">
                  <c:v>64.692059988888346</c:v>
                </c:pt>
                <c:pt idx="48">
                  <c:v>43.128039992592093</c:v>
                </c:pt>
                <c:pt idx="49">
                  <c:v>21.56401999629562</c:v>
                </c:pt>
                <c:pt idx="50">
                  <c:v>-4.2561549339316313E-13</c:v>
                </c:pt>
              </c:numCache>
            </c:numRef>
          </c:val>
        </c:ser>
        <c:axId val="77599488"/>
        <c:axId val="77601024"/>
      </c:areaChart>
      <c:catAx>
        <c:axId val="7759948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7601024"/>
        <c:crosses val="autoZero"/>
        <c:lblAlgn val="ctr"/>
        <c:lblOffset val="100"/>
        <c:tickLblSkip val="10"/>
        <c:tickMarkSkip val="1"/>
      </c:catAx>
      <c:valAx>
        <c:axId val="7760102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599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872416416126345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'Simple - Dist. A'!$L$12:$L$62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A'!$N$12:$N$62</c:f>
              <c:numCache>
                <c:formatCode>General</c:formatCode>
                <c:ptCount val="51"/>
                <c:pt idx="0">
                  <c:v>0</c:v>
                </c:pt>
                <c:pt idx="1">
                  <c:v>-5.4085837532472481E-6</c:v>
                </c:pt>
                <c:pt idx="2">
                  <c:v>-1.0791840377479669E-5</c:v>
                </c:pt>
                <c:pt idx="3">
                  <c:v>-1.6124564561598124E-5</c:v>
                </c:pt>
                <c:pt idx="4">
                  <c:v>-2.1381794630334851E-5</c:v>
                </c:pt>
                <c:pt idx="5">
                  <c:v>-2.6538934362169164E-5</c:v>
                </c:pt>
                <c:pt idx="6">
                  <c:v>-3.1571874807243125E-5</c:v>
                </c:pt>
                <c:pt idx="7">
                  <c:v>-3.6457116105277248E-5</c:v>
                </c:pt>
                <c:pt idx="8">
                  <c:v>-4.1171889303486167E-5</c:v>
                </c:pt>
                <c:pt idx="9">
                  <c:v>-4.5694278174494371E-5</c:v>
                </c:pt>
                <c:pt idx="10">
                  <c:v>-5.0003341034251846E-5</c:v>
                </c:pt>
                <c:pt idx="11">
                  <c:v>-5.4079232559949768E-5</c:v>
                </c:pt>
                <c:pt idx="12">
                  <c:v>-5.7903325607936241E-5</c:v>
                </c:pt>
                <c:pt idx="13">
                  <c:v>-6.1458333031631915E-5</c:v>
                </c:pt>
                <c:pt idx="14">
                  <c:v>-6.4728429499445755E-5</c:v>
                </c:pt>
                <c:pt idx="15">
                  <c:v>-6.7699373312690619E-5</c:v>
                </c:pt>
                <c:pt idx="16">
                  <c:v>-7.035862822349908E-5</c:v>
                </c:pt>
                <c:pt idx="17">
                  <c:v>-7.2695485252739027E-5</c:v>
                </c:pt>
                <c:pt idx="18">
                  <c:v>-7.4701184507929363E-5</c:v>
                </c:pt>
                <c:pt idx="19">
                  <c:v>-7.6369037001155734E-5</c:v>
                </c:pt>
                <c:pt idx="20">
                  <c:v>-7.7694546466986169E-5</c:v>
                </c:pt>
                <c:pt idx="21">
                  <c:v>-7.8675531180386841E-5</c:v>
                </c:pt>
                <c:pt idx="22">
                  <c:v>-7.931224577463761E-5</c:v>
                </c:pt>
                <c:pt idx="23">
                  <c:v>-7.9607503059247943E-5</c:v>
                </c:pt>
                <c:pt idx="24">
                  <c:v>-7.9566795837872372E-5</c:v>
                </c:pt>
                <c:pt idx="25">
                  <c:v>-7.9198418726221553E-5</c:v>
                </c:pt>
                <c:pt idx="26">
                  <c:v>-7.8513454865323249E-5</c:v>
                </c:pt>
                <c:pt idx="27">
                  <c:v>-7.7524453507916698E-5</c:v>
                </c:pt>
                <c:pt idx="28">
                  <c:v>-7.6244082883023114E-5</c:v>
                </c:pt>
                <c:pt idx="29">
                  <c:v>-7.468501121966366E-5</c:v>
                </c:pt>
                <c:pt idx="30">
                  <c:v>-7.2859906746859524E-5</c:v>
                </c:pt>
                <c:pt idx="31">
                  <c:v>-7.0781437693631785E-5</c:v>
                </c:pt>
                <c:pt idx="32">
                  <c:v>-6.8462272289001713E-5</c:v>
                </c:pt>
                <c:pt idx="33">
                  <c:v>-6.5915078761990468E-5</c:v>
                </c:pt>
                <c:pt idx="34">
                  <c:v>-6.3152525341619295E-5</c:v>
                </c:pt>
                <c:pt idx="35">
                  <c:v>-6.0187280256909217E-5</c:v>
                </c:pt>
                <c:pt idx="36">
                  <c:v>-5.7032011736881532E-5</c:v>
                </c:pt>
                <c:pt idx="37">
                  <c:v>-5.3699388010557429E-5</c:v>
                </c:pt>
                <c:pt idx="38">
                  <c:v>-5.0202077306957878E-5</c:v>
                </c:pt>
                <c:pt idx="39">
                  <c:v>-4.6552747855104339E-5</c:v>
                </c:pt>
                <c:pt idx="40">
                  <c:v>-4.2764067884017783E-5</c:v>
                </c:pt>
                <c:pt idx="41">
                  <c:v>-3.8848705622719561E-5</c:v>
                </c:pt>
                <c:pt idx="42">
                  <c:v>-3.4819329300230645E-5</c:v>
                </c:pt>
                <c:pt idx="43">
                  <c:v>-3.068860714557244E-5</c:v>
                </c:pt>
                <c:pt idx="44">
                  <c:v>-2.6469207387765971E-5</c:v>
                </c:pt>
                <c:pt idx="45">
                  <c:v>-2.2173798255832264E-5</c:v>
                </c:pt>
                <c:pt idx="46">
                  <c:v>-1.781504797879294E-5</c:v>
                </c:pt>
                <c:pt idx="47">
                  <c:v>-1.3405624785668702E-5</c:v>
                </c:pt>
                <c:pt idx="48">
                  <c:v>-8.9581969054810607E-6</c:v>
                </c:pt>
                <c:pt idx="49">
                  <c:v>-4.4854325672510431E-6</c:v>
                </c:pt>
                <c:pt idx="50">
                  <c:v>2.1684043449710089E-19</c:v>
                </c:pt>
              </c:numCache>
            </c:numRef>
          </c:val>
          <c:smooth val="1"/>
        </c:ser>
        <c:marker val="1"/>
        <c:axId val="77624448"/>
        <c:axId val="77625984"/>
      </c:lineChart>
      <c:catAx>
        <c:axId val="7762444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77625984"/>
        <c:crosses val="autoZero"/>
        <c:lblAlgn val="ctr"/>
        <c:lblOffset val="100"/>
        <c:tickLblSkip val="10"/>
        <c:tickMarkSkip val="1"/>
      </c:catAx>
      <c:valAx>
        <c:axId val="7762598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6244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B'!$M$12:$M$62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9.9999999999999982</c:v>
                </c:pt>
                <c:pt idx="26">
                  <c:v>9.5999999999999961</c:v>
                </c:pt>
                <c:pt idx="27">
                  <c:v>9.1999999999999975</c:v>
                </c:pt>
                <c:pt idx="28">
                  <c:v>8.7999999999999954</c:v>
                </c:pt>
                <c:pt idx="29">
                  <c:v>8.3999999999999968</c:v>
                </c:pt>
                <c:pt idx="30">
                  <c:v>7.9999999999999947</c:v>
                </c:pt>
                <c:pt idx="31">
                  <c:v>7.5999999999999961</c:v>
                </c:pt>
                <c:pt idx="32">
                  <c:v>7.199999999999994</c:v>
                </c:pt>
                <c:pt idx="33">
                  <c:v>6.7999999999999954</c:v>
                </c:pt>
                <c:pt idx="34">
                  <c:v>6.3999999999999932</c:v>
                </c:pt>
                <c:pt idx="35">
                  <c:v>5.9999999999999947</c:v>
                </c:pt>
                <c:pt idx="36">
                  <c:v>5.5999999999999925</c:v>
                </c:pt>
                <c:pt idx="37">
                  <c:v>5.199999999999994</c:v>
                </c:pt>
                <c:pt idx="38">
                  <c:v>4.7999999999999918</c:v>
                </c:pt>
                <c:pt idx="39">
                  <c:v>4.3999999999999915</c:v>
                </c:pt>
                <c:pt idx="40">
                  <c:v>3.9999999999999893</c:v>
                </c:pt>
                <c:pt idx="41">
                  <c:v>3.5999999999999908</c:v>
                </c:pt>
                <c:pt idx="42">
                  <c:v>3.1999999999999886</c:v>
                </c:pt>
                <c:pt idx="43">
                  <c:v>2.7999999999999901</c:v>
                </c:pt>
                <c:pt idx="44">
                  <c:v>2.3999999999999879</c:v>
                </c:pt>
                <c:pt idx="45">
                  <c:v>1.9999999999999893</c:v>
                </c:pt>
                <c:pt idx="46">
                  <c:v>1.5999999999999872</c:v>
                </c:pt>
                <c:pt idx="47">
                  <c:v>1.1999999999999886</c:v>
                </c:pt>
                <c:pt idx="48">
                  <c:v>0.79999999999999005</c:v>
                </c:pt>
                <c:pt idx="49">
                  <c:v>0.39999999999998792</c:v>
                </c:pt>
                <c:pt idx="50">
                  <c:v>-7.1054273576010019E-15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77770112"/>
        <c:axId val="78189696"/>
      </c:areaChart>
      <c:catAx>
        <c:axId val="7777011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8189696"/>
        <c:crosses val="autoZero"/>
        <c:lblAlgn val="ctr"/>
        <c:lblOffset val="100"/>
        <c:tickLblSkip val="10"/>
        <c:tickMarkSkip val="1"/>
      </c:catAx>
      <c:valAx>
        <c:axId val="78189696"/>
        <c:scaling>
          <c:orientation val="minMax"/>
          <c:min val="0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7701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B'!$O$12:$O$62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22.943999999999946</c:v>
                </c:pt>
                <c:pt idx="27">
                  <c:v>16.175999999999959</c:v>
                </c:pt>
                <c:pt idx="28">
                  <c:v>9.6959999999999447</c:v>
                </c:pt>
                <c:pt idx="29">
                  <c:v>3.5039999999999445</c:v>
                </c:pt>
                <c:pt idx="30">
                  <c:v>-2.4000000000000767</c:v>
                </c:pt>
                <c:pt idx="31">
                  <c:v>-8.0160000000000551</c:v>
                </c:pt>
                <c:pt idx="32">
                  <c:v>-13.344000000000072</c:v>
                </c:pt>
                <c:pt idx="33">
                  <c:v>-18.384000000000043</c:v>
                </c:pt>
                <c:pt idx="34">
                  <c:v>-23.136000000000067</c:v>
                </c:pt>
                <c:pt idx="35">
                  <c:v>-27.600000000000051</c:v>
                </c:pt>
                <c:pt idx="36">
                  <c:v>-31.776000000000096</c:v>
                </c:pt>
                <c:pt idx="37">
                  <c:v>-35.664000000000058</c:v>
                </c:pt>
                <c:pt idx="38">
                  <c:v>-39.264000000000067</c:v>
                </c:pt>
                <c:pt idx="39">
                  <c:v>-42.57600000000005</c:v>
                </c:pt>
                <c:pt idx="40">
                  <c:v>-45.600000000000051</c:v>
                </c:pt>
                <c:pt idx="41">
                  <c:v>-48.336000000000041</c:v>
                </c:pt>
                <c:pt idx="42">
                  <c:v>-50.784000000000049</c:v>
                </c:pt>
                <c:pt idx="43">
                  <c:v>-52.944000000000017</c:v>
                </c:pt>
                <c:pt idx="44">
                  <c:v>-54.816000000000059</c:v>
                </c:pt>
                <c:pt idx="45">
                  <c:v>-56.400000000000006</c:v>
                </c:pt>
                <c:pt idx="46">
                  <c:v>-57.696000000000026</c:v>
                </c:pt>
                <c:pt idx="47">
                  <c:v>-58.704000000000008</c:v>
                </c:pt>
                <c:pt idx="48">
                  <c:v>-59.423999999999978</c:v>
                </c:pt>
                <c:pt idx="49">
                  <c:v>-59.856000000000023</c:v>
                </c:pt>
                <c:pt idx="50">
                  <c:v>-60</c:v>
                </c:pt>
              </c:numCache>
            </c:numRef>
          </c:val>
        </c:ser>
        <c:axId val="78229504"/>
        <c:axId val="78231040"/>
      </c:areaChart>
      <c:catAx>
        <c:axId val="7822950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78231040"/>
        <c:crosses val="autoZero"/>
        <c:lblAlgn val="ctr"/>
        <c:lblOffset val="100"/>
        <c:tickLblSkip val="10"/>
        <c:tickMarkSkip val="1"/>
      </c:catAx>
      <c:valAx>
        <c:axId val="7823104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82295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B'!$Q$12:$Q$62</c:f>
              <c:numCache>
                <c:formatCode>General</c:formatCode>
                <c:ptCount val="51"/>
                <c:pt idx="0">
                  <c:v>0</c:v>
                </c:pt>
                <c:pt idx="1">
                  <c:v>21.599999999999998</c:v>
                </c:pt>
                <c:pt idx="2">
                  <c:v>43.199999999999996</c:v>
                </c:pt>
                <c:pt idx="3">
                  <c:v>64.800000000000011</c:v>
                </c:pt>
                <c:pt idx="4">
                  <c:v>86.399999999999991</c:v>
                </c:pt>
                <c:pt idx="5">
                  <c:v>108</c:v>
                </c:pt>
                <c:pt idx="6">
                  <c:v>129.60000000000002</c:v>
                </c:pt>
                <c:pt idx="7">
                  <c:v>151.20000000000002</c:v>
                </c:pt>
                <c:pt idx="8">
                  <c:v>172.79999999999998</c:v>
                </c:pt>
                <c:pt idx="9">
                  <c:v>194.39999999999998</c:v>
                </c:pt>
                <c:pt idx="10">
                  <c:v>215.99999999999997</c:v>
                </c:pt>
                <c:pt idx="11">
                  <c:v>237.59999999999997</c:v>
                </c:pt>
                <c:pt idx="12">
                  <c:v>259.2</c:v>
                </c:pt>
                <c:pt idx="13">
                  <c:v>280.79999999999995</c:v>
                </c:pt>
                <c:pt idx="14">
                  <c:v>302.39999999999998</c:v>
                </c:pt>
                <c:pt idx="15">
                  <c:v>323.99999999999994</c:v>
                </c:pt>
                <c:pt idx="16">
                  <c:v>345.59999999999997</c:v>
                </c:pt>
                <c:pt idx="17">
                  <c:v>367.2</c:v>
                </c:pt>
                <c:pt idx="18">
                  <c:v>388.8</c:v>
                </c:pt>
                <c:pt idx="19">
                  <c:v>410.40000000000003</c:v>
                </c:pt>
                <c:pt idx="20">
                  <c:v>432.00000000000006</c:v>
                </c:pt>
                <c:pt idx="21">
                  <c:v>453.60000000000008</c:v>
                </c:pt>
                <c:pt idx="22">
                  <c:v>475.2000000000001</c:v>
                </c:pt>
                <c:pt idx="23">
                  <c:v>496.80000000000018</c:v>
                </c:pt>
                <c:pt idx="24">
                  <c:v>518.40000000000009</c:v>
                </c:pt>
                <c:pt idx="25">
                  <c:v>540.00000000000011</c:v>
                </c:pt>
                <c:pt idx="26">
                  <c:v>559.04256000000021</c:v>
                </c:pt>
                <c:pt idx="27">
                  <c:v>573.10848000000021</c:v>
                </c:pt>
                <c:pt idx="28">
                  <c:v>582.40512000000024</c:v>
                </c:pt>
                <c:pt idx="29">
                  <c:v>587.13984000000005</c:v>
                </c:pt>
                <c:pt idx="30">
                  <c:v>587.52</c:v>
                </c:pt>
                <c:pt idx="31">
                  <c:v>583.75295999999992</c:v>
                </c:pt>
                <c:pt idx="32">
                  <c:v>576.04607999999985</c:v>
                </c:pt>
                <c:pt idx="33">
                  <c:v>564.60672</c:v>
                </c:pt>
                <c:pt idx="34">
                  <c:v>549.64224000000002</c:v>
                </c:pt>
                <c:pt idx="35">
                  <c:v>531.3599999999999</c:v>
                </c:pt>
                <c:pt idx="36">
                  <c:v>509.9673599999997</c:v>
                </c:pt>
                <c:pt idx="37">
                  <c:v>485.67167999999981</c:v>
                </c:pt>
                <c:pt idx="38">
                  <c:v>458.68031999999926</c:v>
                </c:pt>
                <c:pt idx="39">
                  <c:v>429.20063999999934</c:v>
                </c:pt>
                <c:pt idx="40">
                  <c:v>397.43999999999926</c:v>
                </c:pt>
                <c:pt idx="41">
                  <c:v>363.60575999999924</c:v>
                </c:pt>
                <c:pt idx="42">
                  <c:v>327.90527999999904</c:v>
                </c:pt>
                <c:pt idx="43">
                  <c:v>290.54591999999934</c:v>
                </c:pt>
                <c:pt idx="44">
                  <c:v>251.73503999999889</c:v>
                </c:pt>
                <c:pt idx="45">
                  <c:v>211.67999999999938</c:v>
                </c:pt>
                <c:pt idx="46">
                  <c:v>170.58815999999911</c:v>
                </c:pt>
                <c:pt idx="47">
                  <c:v>128.66687999999954</c:v>
                </c:pt>
                <c:pt idx="48">
                  <c:v>86.123519999999644</c:v>
                </c:pt>
                <c:pt idx="49">
                  <c:v>43.165439999999307</c:v>
                </c:pt>
                <c:pt idx="50">
                  <c:v>-1.3642420526593924E-12</c:v>
                </c:pt>
              </c:numCache>
            </c:numRef>
          </c:val>
        </c:ser>
        <c:axId val="79663488"/>
        <c:axId val="79665024"/>
      </c:areaChart>
      <c:catAx>
        <c:axId val="7966348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9665024"/>
        <c:crosses val="autoZero"/>
        <c:lblAlgn val="ctr"/>
        <c:lblOffset val="100"/>
        <c:tickLblSkip val="10"/>
        <c:tickMarkSkip val="1"/>
      </c:catAx>
      <c:valAx>
        <c:axId val="7966502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966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872416416126345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'Simple - Dist.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B'!$N$12:$N$62</c:f>
              <c:numCache>
                <c:formatCode>General</c:formatCode>
                <c:ptCount val="51"/>
                <c:pt idx="0">
                  <c:v>0</c:v>
                </c:pt>
                <c:pt idx="1">
                  <c:v>-4.4920356410428238E-6</c:v>
                </c:pt>
                <c:pt idx="2">
                  <c:v>-8.971381915868013E-6</c:v>
                </c:pt>
                <c:pt idx="3">
                  <c:v>-1.3425349458257932E-5</c:v>
                </c:pt>
                <c:pt idx="4">
                  <c:v>-1.7841248901994942E-5</c:v>
                </c:pt>
                <c:pt idx="5">
                  <c:v>-2.2206390880861418E-5</c:v>
                </c:pt>
                <c:pt idx="6">
                  <c:v>-2.6508086028639718E-5</c:v>
                </c:pt>
                <c:pt idx="7">
                  <c:v>-3.0733644979112205E-5</c:v>
                </c:pt>
                <c:pt idx="8">
                  <c:v>-3.4870378366061243E-5</c:v>
                </c:pt>
                <c:pt idx="9">
                  <c:v>-3.8905596823269206E-5</c:v>
                </c:pt>
                <c:pt idx="10">
                  <c:v>-4.2826610984518444E-5</c:v>
                </c:pt>
                <c:pt idx="11">
                  <c:v>-4.6620731483591341E-5</c:v>
                </c:pt>
                <c:pt idx="12">
                  <c:v>-5.0275268954270241E-5</c:v>
                </c:pt>
                <c:pt idx="13">
                  <c:v>-5.3777534030337526E-5</c:v>
                </c:pt>
                <c:pt idx="14">
                  <c:v>-5.7114837345575563E-5</c:v>
                </c:pt>
                <c:pt idx="15">
                  <c:v>-6.0274489533766713E-5</c:v>
                </c:pt>
                <c:pt idx="16">
                  <c:v>-6.3243801228693314E-5</c:v>
                </c:pt>
                <c:pt idx="17">
                  <c:v>-6.6010083064137775E-5</c:v>
                </c:pt>
                <c:pt idx="18">
                  <c:v>-6.8560645673882437E-5</c:v>
                </c:pt>
                <c:pt idx="19">
                  <c:v>-7.0882799691709652E-5</c:v>
                </c:pt>
                <c:pt idx="20">
                  <c:v>-7.2963855751401814E-5</c:v>
                </c:pt>
                <c:pt idx="21">
                  <c:v>-7.4791124486741278E-5</c:v>
                </c:pt>
                <c:pt idx="22">
                  <c:v>-7.6351916531510383E-5</c:v>
                </c:pt>
                <c:pt idx="23">
                  <c:v>-7.7633542519491537E-5</c:v>
                </c:pt>
                <c:pt idx="24">
                  <c:v>-7.8623313084467066E-5</c:v>
                </c:pt>
                <c:pt idx="25">
                  <c:v>-7.9308538860219352E-5</c:v>
                </c:pt>
                <c:pt idx="26">
                  <c:v>-7.9676656359043641E-5</c:v>
                </c:pt>
                <c:pt idx="27">
                  <c:v>-7.9716596393001045E-5</c:v>
                </c:pt>
                <c:pt idx="28">
                  <c:v>-7.9420085495317323E-5</c:v>
                </c:pt>
                <c:pt idx="29">
                  <c:v>-7.8781652011280013E-5</c:v>
                </c:pt>
                <c:pt idx="30">
                  <c:v>-7.7798504280320792E-5</c:v>
                </c:pt>
                <c:pt idx="31">
                  <c:v>-7.6470408818101162E-5</c:v>
                </c:pt>
                <c:pt idx="32">
                  <c:v>-7.4799568498596993E-5</c:v>
                </c:pt>
                <c:pt idx="33">
                  <c:v>-7.2790500736181631E-5</c:v>
                </c:pt>
                <c:pt idx="34">
                  <c:v>-7.0449915667710372E-5</c:v>
                </c:pt>
                <c:pt idx="35">
                  <c:v>-6.7786594334606559E-5</c:v>
                </c:pt>
                <c:pt idx="36">
                  <c:v>-6.481126686494346E-5</c:v>
                </c:pt>
                <c:pt idx="37">
                  <c:v>-6.1536490655530123E-5</c:v>
                </c:pt>
                <c:pt idx="38">
                  <c:v>-5.7976528553995305E-5</c:v>
                </c:pt>
                <c:pt idx="39">
                  <c:v>-5.414722704087145E-5</c:v>
                </c:pt>
                <c:pt idx="40">
                  <c:v>-5.0065894411679339E-5</c:v>
                </c:pt>
                <c:pt idx="41">
                  <c:v>-4.5751178959012366E-5</c:v>
                </c:pt>
                <c:pt idx="42">
                  <c:v>-4.1222947154620731E-5</c:v>
                </c:pt>
                <c:pt idx="43">
                  <c:v>-3.6502161831497283E-5</c:v>
                </c:pt>
                <c:pt idx="44">
                  <c:v>-3.1610760365957322E-5</c:v>
                </c:pt>
                <c:pt idx="45">
                  <c:v>-2.6571532859727859E-5</c:v>
                </c:pt>
                <c:pt idx="46">
                  <c:v>-2.1408000322030646E-5</c:v>
                </c:pt>
                <c:pt idx="47">
                  <c:v>-1.6144292851665037E-5</c:v>
                </c:pt>
                <c:pt idx="48">
                  <c:v>-1.0805027819093318E-5</c:v>
                </c:pt>
                <c:pt idx="49">
                  <c:v>-5.4151880485249818E-6</c:v>
                </c:pt>
                <c:pt idx="50">
                  <c:v>-2.7105054312137611E-20</c:v>
                </c:pt>
              </c:numCache>
            </c:numRef>
          </c:val>
          <c:smooth val="1"/>
        </c:ser>
        <c:marker val="1"/>
        <c:axId val="79700736"/>
        <c:axId val="79702272"/>
      </c:lineChart>
      <c:catAx>
        <c:axId val="79700736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79702272"/>
        <c:crosses val="autoZero"/>
        <c:lblAlgn val="ctr"/>
        <c:lblOffset val="100"/>
        <c:tickLblSkip val="10"/>
        <c:tickMarkSkip val="1"/>
      </c:catAx>
      <c:valAx>
        <c:axId val="7970227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9700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778801843317984E-2"/>
          <c:y val="0.21951219512195133"/>
          <c:w val="0.79262672811059931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A +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A + B'!$M$12:$M$62</c:f>
              <c:numCache>
                <c:formatCode>General</c:formatCode>
                <c:ptCount val="5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1.2000000000000002</c:v>
                </c:pt>
                <c:pt idx="4">
                  <c:v>1.6</c:v>
                </c:pt>
                <c:pt idx="5">
                  <c:v>2</c:v>
                </c:pt>
                <c:pt idx="6">
                  <c:v>2.4000000000000004</c:v>
                </c:pt>
                <c:pt idx="7">
                  <c:v>2.8000000000000007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4.3999999999999995</c:v>
                </c:pt>
                <c:pt idx="12">
                  <c:v>4.8</c:v>
                </c:pt>
                <c:pt idx="13">
                  <c:v>5.1999999999999993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6.8000000000000007</c:v>
                </c:pt>
                <c:pt idx="18">
                  <c:v>7.2000000000000011</c:v>
                </c:pt>
                <c:pt idx="19">
                  <c:v>7.6000000000000014</c:v>
                </c:pt>
                <c:pt idx="20">
                  <c:v>8.0000000000000018</c:v>
                </c:pt>
                <c:pt idx="21">
                  <c:v>8.4000000000000021</c:v>
                </c:pt>
                <c:pt idx="22">
                  <c:v>8.8000000000000025</c:v>
                </c:pt>
                <c:pt idx="23">
                  <c:v>9.2000000000000028</c:v>
                </c:pt>
                <c:pt idx="24">
                  <c:v>9.6000000000000032</c:v>
                </c:pt>
                <c:pt idx="25">
                  <c:v>9.9999999999999982</c:v>
                </c:pt>
                <c:pt idx="26">
                  <c:v>9.5999999999999961</c:v>
                </c:pt>
                <c:pt idx="27">
                  <c:v>9.1999999999999975</c:v>
                </c:pt>
                <c:pt idx="28">
                  <c:v>8.7999999999999954</c:v>
                </c:pt>
                <c:pt idx="29">
                  <c:v>8.3999999999999968</c:v>
                </c:pt>
                <c:pt idx="30">
                  <c:v>7.9999999999999947</c:v>
                </c:pt>
                <c:pt idx="31">
                  <c:v>7.5999999999999961</c:v>
                </c:pt>
                <c:pt idx="32">
                  <c:v>7.199999999999994</c:v>
                </c:pt>
                <c:pt idx="33">
                  <c:v>6.7999999999999954</c:v>
                </c:pt>
                <c:pt idx="34">
                  <c:v>6.3999999999999932</c:v>
                </c:pt>
                <c:pt idx="35">
                  <c:v>5.9999999999999947</c:v>
                </c:pt>
                <c:pt idx="36">
                  <c:v>5.5999999999999925</c:v>
                </c:pt>
                <c:pt idx="37">
                  <c:v>5.199999999999994</c:v>
                </c:pt>
                <c:pt idx="38">
                  <c:v>4.7999999999999918</c:v>
                </c:pt>
                <c:pt idx="39">
                  <c:v>4.3999999999999915</c:v>
                </c:pt>
                <c:pt idx="40">
                  <c:v>3.9999999999999893</c:v>
                </c:pt>
                <c:pt idx="41">
                  <c:v>3.5999999999999908</c:v>
                </c:pt>
                <c:pt idx="42">
                  <c:v>3.1999999999999886</c:v>
                </c:pt>
                <c:pt idx="43">
                  <c:v>2.7999999999999901</c:v>
                </c:pt>
                <c:pt idx="44">
                  <c:v>2.3999999999999879</c:v>
                </c:pt>
                <c:pt idx="45">
                  <c:v>1.9999999999999893</c:v>
                </c:pt>
                <c:pt idx="46">
                  <c:v>1.5999999999999872</c:v>
                </c:pt>
                <c:pt idx="47">
                  <c:v>1.1999999999999886</c:v>
                </c:pt>
                <c:pt idx="48">
                  <c:v>0.79999999999999005</c:v>
                </c:pt>
                <c:pt idx="49">
                  <c:v>0.39999999999998792</c:v>
                </c:pt>
                <c:pt idx="50">
                  <c:v>-7.1054273576010019E-15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0030336"/>
        <c:axId val="80048512"/>
      </c:areaChart>
      <c:catAx>
        <c:axId val="8003033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0048512"/>
        <c:crosses val="autoZero"/>
        <c:lblAlgn val="ctr"/>
        <c:lblOffset val="100"/>
        <c:tickLblSkip val="10"/>
        <c:tickMarkSkip val="1"/>
      </c:catAx>
      <c:valAx>
        <c:axId val="80048512"/>
        <c:scaling>
          <c:orientation val="minMax"/>
          <c:min val="0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030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6391810959410966E-2"/>
          <c:y val="8.4269894086568667E-2"/>
          <c:w val="0.9226815735260622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A +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A + B'!$O$12:$O$62</c:f>
              <c:numCache>
                <c:formatCode>General</c:formatCode>
                <c:ptCount val="51"/>
                <c:pt idx="0">
                  <c:v>89.950000005144034</c:v>
                </c:pt>
                <c:pt idx="1">
                  <c:v>89.806000005144028</c:v>
                </c:pt>
                <c:pt idx="2">
                  <c:v>89.374000005144026</c:v>
                </c:pt>
                <c:pt idx="3">
                  <c:v>88.654000005144027</c:v>
                </c:pt>
                <c:pt idx="4">
                  <c:v>87.646000005144032</c:v>
                </c:pt>
                <c:pt idx="5">
                  <c:v>86.350000005144025</c:v>
                </c:pt>
                <c:pt idx="6">
                  <c:v>84.766000005144022</c:v>
                </c:pt>
                <c:pt idx="7">
                  <c:v>82.894000005144022</c:v>
                </c:pt>
                <c:pt idx="8">
                  <c:v>80.734000005144026</c:v>
                </c:pt>
                <c:pt idx="9">
                  <c:v>78.286000005144018</c:v>
                </c:pt>
                <c:pt idx="10">
                  <c:v>75.550000005144028</c:v>
                </c:pt>
                <c:pt idx="11">
                  <c:v>72.526000005144027</c:v>
                </c:pt>
                <c:pt idx="12">
                  <c:v>69.21400000514403</c:v>
                </c:pt>
                <c:pt idx="13">
                  <c:v>65.614000005144035</c:v>
                </c:pt>
                <c:pt idx="14">
                  <c:v>61.72600000514403</c:v>
                </c:pt>
                <c:pt idx="15">
                  <c:v>57.550000005144035</c:v>
                </c:pt>
                <c:pt idx="16">
                  <c:v>53.08600000514403</c:v>
                </c:pt>
                <c:pt idx="17">
                  <c:v>48.334000005144027</c:v>
                </c:pt>
                <c:pt idx="18">
                  <c:v>43.294000005144014</c:v>
                </c:pt>
                <c:pt idx="19">
                  <c:v>37.966000005144011</c:v>
                </c:pt>
                <c:pt idx="20">
                  <c:v>32.350000005144004</c:v>
                </c:pt>
                <c:pt idx="21">
                  <c:v>26.446000005144001</c:v>
                </c:pt>
                <c:pt idx="22">
                  <c:v>20.254000005144</c:v>
                </c:pt>
                <c:pt idx="23">
                  <c:v>13.774000005143968</c:v>
                </c:pt>
                <c:pt idx="24">
                  <c:v>7.0060000051439815</c:v>
                </c:pt>
                <c:pt idx="25">
                  <c:v>4.9972227366261279E-2</c:v>
                </c:pt>
                <c:pt idx="26">
                  <c:v>-7.0060277726337929</c:v>
                </c:pt>
                <c:pt idx="27">
                  <c:v>-13.774027772633779</c:v>
                </c:pt>
                <c:pt idx="28">
                  <c:v>-20.254027772633794</c:v>
                </c:pt>
                <c:pt idx="29">
                  <c:v>-26.446027772633794</c:v>
                </c:pt>
                <c:pt idx="30">
                  <c:v>-32.350027772633815</c:v>
                </c:pt>
                <c:pt idx="31">
                  <c:v>-37.966027772633794</c:v>
                </c:pt>
                <c:pt idx="32">
                  <c:v>-43.294027772633811</c:v>
                </c:pt>
                <c:pt idx="33">
                  <c:v>-48.334027772633782</c:v>
                </c:pt>
                <c:pt idx="34">
                  <c:v>-53.086027772633805</c:v>
                </c:pt>
                <c:pt idx="35">
                  <c:v>-57.55002777263379</c:v>
                </c:pt>
                <c:pt idx="36">
                  <c:v>-61.726027772633834</c:v>
                </c:pt>
                <c:pt idx="37">
                  <c:v>-65.61402777263379</c:v>
                </c:pt>
                <c:pt idx="38">
                  <c:v>-69.214027772633813</c:v>
                </c:pt>
                <c:pt idx="39">
                  <c:v>-72.526027772633796</c:v>
                </c:pt>
                <c:pt idx="40">
                  <c:v>-75.550027772633797</c:v>
                </c:pt>
                <c:pt idx="41">
                  <c:v>-78.286027772633787</c:v>
                </c:pt>
                <c:pt idx="42">
                  <c:v>-80.734027772633794</c:v>
                </c:pt>
                <c:pt idx="43">
                  <c:v>-82.894027772633763</c:v>
                </c:pt>
                <c:pt idx="44">
                  <c:v>-84.766027772633805</c:v>
                </c:pt>
                <c:pt idx="45">
                  <c:v>-86.350027772633752</c:v>
                </c:pt>
                <c:pt idx="46">
                  <c:v>-87.646027772633772</c:v>
                </c:pt>
                <c:pt idx="47">
                  <c:v>-88.654027772633754</c:v>
                </c:pt>
                <c:pt idx="48">
                  <c:v>-89.374027772633724</c:v>
                </c:pt>
                <c:pt idx="49">
                  <c:v>-89.806027772633769</c:v>
                </c:pt>
                <c:pt idx="50">
                  <c:v>-89.950027772633746</c:v>
                </c:pt>
              </c:numCache>
            </c:numRef>
          </c:val>
        </c:ser>
        <c:axId val="80059392"/>
        <c:axId val="80061184"/>
      </c:areaChart>
      <c:catAx>
        <c:axId val="8005939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0061184"/>
        <c:crosses val="autoZero"/>
        <c:lblAlgn val="ctr"/>
        <c:lblOffset val="100"/>
        <c:tickLblSkip val="10"/>
        <c:tickMarkSkip val="1"/>
      </c:catAx>
      <c:valAx>
        <c:axId val="8006118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0593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6632124352331647E-2"/>
          <c:y val="7.3446732911441354E-2"/>
          <c:w val="0.91968911917098461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A +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A + B'!$Q$12:$Q$62</c:f>
              <c:numCache>
                <c:formatCode>General</c:formatCode>
                <c:ptCount val="51"/>
                <c:pt idx="0">
                  <c:v>0</c:v>
                </c:pt>
                <c:pt idx="1">
                  <c:v>64.729440003703701</c:v>
                </c:pt>
                <c:pt idx="2">
                  <c:v>129.25152000740738</c:v>
                </c:pt>
                <c:pt idx="3">
                  <c:v>193.35888001111113</c:v>
                </c:pt>
                <c:pt idx="4">
                  <c:v>256.8441600148148</c:v>
                </c:pt>
                <c:pt idx="5">
                  <c:v>319.50000001851851</c:v>
                </c:pt>
                <c:pt idx="6">
                  <c:v>381.11904002222229</c:v>
                </c:pt>
                <c:pt idx="7">
                  <c:v>441.49392002592595</c:v>
                </c:pt>
                <c:pt idx="8">
                  <c:v>500.41728002962952</c:v>
                </c:pt>
                <c:pt idx="9">
                  <c:v>557.68176003333326</c:v>
                </c:pt>
                <c:pt idx="10">
                  <c:v>613.08000003703694</c:v>
                </c:pt>
                <c:pt idx="11">
                  <c:v>666.40464004074056</c:v>
                </c:pt>
                <c:pt idx="12">
                  <c:v>717.44832004444436</c:v>
                </c:pt>
                <c:pt idx="13">
                  <c:v>766.00368004814788</c:v>
                </c:pt>
                <c:pt idx="14">
                  <c:v>811.86336005185171</c:v>
                </c:pt>
                <c:pt idx="15">
                  <c:v>854.82000005555528</c:v>
                </c:pt>
                <c:pt idx="16">
                  <c:v>894.66624005925905</c:v>
                </c:pt>
                <c:pt idx="17">
                  <c:v>931.19472006296292</c:v>
                </c:pt>
                <c:pt idx="18">
                  <c:v>964.19808006666653</c:v>
                </c:pt>
                <c:pt idx="19">
                  <c:v>993.46896007037026</c:v>
                </c:pt>
                <c:pt idx="20">
                  <c:v>1018.800000074074</c:v>
                </c:pt>
                <c:pt idx="21">
                  <c:v>1039.9838400777778</c:v>
                </c:pt>
                <c:pt idx="22">
                  <c:v>1056.8131200814814</c:v>
                </c:pt>
                <c:pt idx="23">
                  <c:v>1069.0804800851852</c:v>
                </c:pt>
                <c:pt idx="24">
                  <c:v>1076.5785600888889</c:v>
                </c:pt>
                <c:pt idx="25">
                  <c:v>1079.1004999074073</c:v>
                </c:pt>
                <c:pt idx="26">
                  <c:v>1076.5790399111111</c:v>
                </c:pt>
                <c:pt idx="27">
                  <c:v>1069.0809399148147</c:v>
                </c:pt>
                <c:pt idx="28">
                  <c:v>1056.8135599185184</c:v>
                </c:pt>
                <c:pt idx="29">
                  <c:v>1039.984259922222</c:v>
                </c:pt>
                <c:pt idx="30">
                  <c:v>1018.8003999259256</c:v>
                </c:pt>
                <c:pt idx="31">
                  <c:v>993.46933992962931</c:v>
                </c:pt>
                <c:pt idx="32">
                  <c:v>964.19843993333279</c:v>
                </c:pt>
                <c:pt idx="33">
                  <c:v>931.19505993703672</c:v>
                </c:pt>
                <c:pt idx="34">
                  <c:v>894.6665599407404</c:v>
                </c:pt>
                <c:pt idx="35">
                  <c:v>854.82029994444406</c:v>
                </c:pt>
                <c:pt idx="36">
                  <c:v>811.86363994814747</c:v>
                </c:pt>
                <c:pt idx="37">
                  <c:v>766.00393995185129</c:v>
                </c:pt>
                <c:pt idx="38">
                  <c:v>717.4485599555544</c:v>
                </c:pt>
                <c:pt idx="39">
                  <c:v>666.40485995925815</c:v>
                </c:pt>
                <c:pt idx="40">
                  <c:v>613.08019996296173</c:v>
                </c:pt>
                <c:pt idx="41">
                  <c:v>557.68193996666548</c:v>
                </c:pt>
                <c:pt idx="42">
                  <c:v>500.41743997036889</c:v>
                </c:pt>
                <c:pt idx="43">
                  <c:v>441.49405997407291</c:v>
                </c:pt>
                <c:pt idx="44">
                  <c:v>381.11915997777612</c:v>
                </c:pt>
                <c:pt idx="45">
                  <c:v>319.50009998148028</c:v>
                </c:pt>
                <c:pt idx="46">
                  <c:v>256.84423998518372</c:v>
                </c:pt>
                <c:pt idx="47">
                  <c:v>193.35893998888787</c:v>
                </c:pt>
                <c:pt idx="48">
                  <c:v>129.25155999259175</c:v>
                </c:pt>
                <c:pt idx="49">
                  <c:v>64.729459996294935</c:v>
                </c:pt>
                <c:pt idx="50">
                  <c:v>-1.7898575460525556E-12</c:v>
                </c:pt>
              </c:numCache>
            </c:numRef>
          </c:val>
        </c:ser>
        <c:axId val="80084352"/>
        <c:axId val="80491648"/>
      </c:areaChart>
      <c:catAx>
        <c:axId val="8008435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0491648"/>
        <c:crosses val="autoZero"/>
        <c:lblAlgn val="ctr"/>
        <c:lblOffset val="100"/>
        <c:tickLblSkip val="10"/>
        <c:tickMarkSkip val="1"/>
      </c:catAx>
      <c:valAx>
        <c:axId val="8049164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084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412540297750569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Conc. F'!$O$12:$O$62</c:f>
              <c:numCache>
                <c:formatCode>General</c:formatCode>
                <c:ptCount val="5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-8</c:v>
                </c:pt>
                <c:pt idx="22">
                  <c:v>-8</c:v>
                </c:pt>
                <c:pt idx="23">
                  <c:v>-8</c:v>
                </c:pt>
                <c:pt idx="24">
                  <c:v>-8</c:v>
                </c:pt>
                <c:pt idx="25">
                  <c:v>-8</c:v>
                </c:pt>
                <c:pt idx="26">
                  <c:v>-8</c:v>
                </c:pt>
                <c:pt idx="27">
                  <c:v>-8</c:v>
                </c:pt>
                <c:pt idx="28">
                  <c:v>-8</c:v>
                </c:pt>
                <c:pt idx="29">
                  <c:v>-8</c:v>
                </c:pt>
                <c:pt idx="30">
                  <c:v>-8</c:v>
                </c:pt>
                <c:pt idx="31">
                  <c:v>-8</c:v>
                </c:pt>
                <c:pt idx="32">
                  <c:v>-8</c:v>
                </c:pt>
                <c:pt idx="33">
                  <c:v>-8</c:v>
                </c:pt>
                <c:pt idx="34">
                  <c:v>-8</c:v>
                </c:pt>
                <c:pt idx="35">
                  <c:v>-8</c:v>
                </c:pt>
                <c:pt idx="36">
                  <c:v>-8</c:v>
                </c:pt>
                <c:pt idx="37">
                  <c:v>-8</c:v>
                </c:pt>
                <c:pt idx="38">
                  <c:v>-8</c:v>
                </c:pt>
                <c:pt idx="39">
                  <c:v>-8</c:v>
                </c:pt>
                <c:pt idx="40">
                  <c:v>-8</c:v>
                </c:pt>
                <c:pt idx="41">
                  <c:v>-8</c:v>
                </c:pt>
                <c:pt idx="42">
                  <c:v>-8</c:v>
                </c:pt>
                <c:pt idx="43">
                  <c:v>-8</c:v>
                </c:pt>
                <c:pt idx="44">
                  <c:v>-8</c:v>
                </c:pt>
                <c:pt idx="45">
                  <c:v>-8</c:v>
                </c:pt>
                <c:pt idx="46">
                  <c:v>-8</c:v>
                </c:pt>
                <c:pt idx="47">
                  <c:v>-8</c:v>
                </c:pt>
                <c:pt idx="48">
                  <c:v>-8</c:v>
                </c:pt>
                <c:pt idx="49">
                  <c:v>-8</c:v>
                </c:pt>
                <c:pt idx="50">
                  <c:v>-8</c:v>
                </c:pt>
              </c:numCache>
            </c:numRef>
          </c:val>
        </c:ser>
        <c:axId val="75812864"/>
        <c:axId val="75814400"/>
      </c:areaChart>
      <c:catAx>
        <c:axId val="7581286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75814400"/>
        <c:crosses val="autoZero"/>
        <c:lblAlgn val="ctr"/>
        <c:lblOffset val="100"/>
        <c:tickLblSkip val="10"/>
        <c:tickMarkSkip val="1"/>
      </c:catAx>
      <c:valAx>
        <c:axId val="7581440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58128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546456621567698E-2"/>
          <c:y val="0.20388446167922145"/>
          <c:w val="0.8994856680463563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'Simple A + 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A + B'!$N$12:$N$62</c:f>
              <c:numCache>
                <c:formatCode>General</c:formatCode>
                <c:ptCount val="51"/>
                <c:pt idx="0">
                  <c:v>0</c:v>
                </c:pt>
                <c:pt idx="1">
                  <c:v>-9.9006193942900727E-6</c:v>
                </c:pt>
                <c:pt idx="2">
                  <c:v>-1.9763222293347684E-5</c:v>
                </c:pt>
                <c:pt idx="3">
                  <c:v>-2.9549914019856056E-5</c:v>
                </c:pt>
                <c:pt idx="4">
                  <c:v>-3.9223043532329793E-5</c:v>
                </c:pt>
                <c:pt idx="5">
                  <c:v>-4.8745325243030582E-5</c:v>
                </c:pt>
                <c:pt idx="6">
                  <c:v>-5.8079960835882846E-5</c:v>
                </c:pt>
                <c:pt idx="7">
                  <c:v>-6.7190761084389453E-5</c:v>
                </c:pt>
                <c:pt idx="8">
                  <c:v>-7.6042267669547403E-5</c:v>
                </c:pt>
                <c:pt idx="9">
                  <c:v>-8.459987499776357E-5</c:v>
                </c:pt>
                <c:pt idx="10">
                  <c:v>-9.2829952018770297E-5</c:v>
                </c:pt>
                <c:pt idx="11">
                  <c:v>-1.0069996404354112E-4</c:v>
                </c:pt>
                <c:pt idx="12">
                  <c:v>-1.0817859456220648E-4</c:v>
                </c:pt>
                <c:pt idx="13">
                  <c:v>-1.1523586706196944E-4</c:v>
                </c:pt>
                <c:pt idx="14">
                  <c:v>-1.2184326684502132E-4</c:v>
                </c:pt>
                <c:pt idx="15">
                  <c:v>-1.2797386284645735E-4</c:v>
                </c:pt>
                <c:pt idx="16">
                  <c:v>-1.3360242945219239E-4</c:v>
                </c:pt>
                <c:pt idx="17">
                  <c:v>-1.387055683168768E-4</c:v>
                </c:pt>
                <c:pt idx="18">
                  <c:v>-1.432618301818118E-4</c:v>
                </c:pt>
                <c:pt idx="19">
                  <c:v>-1.4725183669286537E-4</c:v>
                </c:pt>
                <c:pt idx="20">
                  <c:v>-1.5065840221838798E-4</c:v>
                </c:pt>
                <c:pt idx="21">
                  <c:v>-1.5346665566712812E-4</c:v>
                </c:pt>
                <c:pt idx="22">
                  <c:v>-1.5566416230614798E-4</c:v>
                </c:pt>
                <c:pt idx="23">
                  <c:v>-1.5724104557873948E-4</c:v>
                </c:pt>
                <c:pt idx="24">
                  <c:v>-1.5819010892233944E-4</c:v>
                </c:pt>
                <c:pt idx="25">
                  <c:v>-1.585069575864409E-4</c:v>
                </c:pt>
                <c:pt idx="26">
                  <c:v>-1.581901112243669E-4</c:v>
                </c:pt>
                <c:pt idx="27">
                  <c:v>-1.5724104990091773E-4</c:v>
                </c:pt>
                <c:pt idx="28">
                  <c:v>-1.5566416837834042E-4</c:v>
                </c:pt>
                <c:pt idx="29">
                  <c:v>-1.5346666323094369E-4</c:v>
                </c:pt>
                <c:pt idx="30">
                  <c:v>-1.506584110271803E-4</c:v>
                </c:pt>
                <c:pt idx="31">
                  <c:v>-1.4725184651173293E-4</c:v>
                </c:pt>
                <c:pt idx="32">
                  <c:v>-1.4326184078759872E-4</c:v>
                </c:pt>
                <c:pt idx="33">
                  <c:v>-1.3870557949817209E-4</c:v>
                </c:pt>
                <c:pt idx="34">
                  <c:v>-1.3360244100932967E-4</c:v>
                </c:pt>
                <c:pt idx="35">
                  <c:v>-1.2797387459151578E-4</c:v>
                </c:pt>
                <c:pt idx="36">
                  <c:v>-1.2184327860182499E-4</c:v>
                </c:pt>
                <c:pt idx="37">
                  <c:v>-1.1523587866608755E-4</c:v>
                </c:pt>
                <c:pt idx="38">
                  <c:v>-1.0817860586095318E-4</c:v>
                </c:pt>
                <c:pt idx="39">
                  <c:v>-1.0069997489597579E-4</c:v>
                </c:pt>
                <c:pt idx="40">
                  <c:v>-9.2829962295697122E-5</c:v>
                </c:pt>
                <c:pt idx="41">
                  <c:v>-8.4599884581731927E-5</c:v>
                </c:pt>
                <c:pt idx="42">
                  <c:v>-7.6042276454851376E-5</c:v>
                </c:pt>
                <c:pt idx="43">
                  <c:v>-6.7190768977069723E-5</c:v>
                </c:pt>
                <c:pt idx="44">
                  <c:v>-5.8079967753723292E-5</c:v>
                </c:pt>
                <c:pt idx="45">
                  <c:v>-4.8745331115560123E-5</c:v>
                </c:pt>
                <c:pt idx="46">
                  <c:v>-3.9223048300823587E-5</c:v>
                </c:pt>
                <c:pt idx="47">
                  <c:v>-2.9549917637333739E-5</c:v>
                </c:pt>
                <c:pt idx="48">
                  <c:v>-1.9763224724574378E-5</c:v>
                </c:pt>
                <c:pt idx="49">
                  <c:v>-9.900620615776025E-6</c:v>
                </c:pt>
                <c:pt idx="50">
                  <c:v>1.8973538018496328E-19</c:v>
                </c:pt>
              </c:numCache>
            </c:numRef>
          </c:val>
          <c:smooth val="1"/>
        </c:ser>
        <c:marker val="1"/>
        <c:axId val="80523264"/>
        <c:axId val="80524800"/>
      </c:lineChart>
      <c:catAx>
        <c:axId val="8052326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80524800"/>
        <c:crosses val="autoZero"/>
        <c:lblAlgn val="ctr"/>
        <c:lblOffset val="100"/>
        <c:tickLblSkip val="10"/>
        <c:tickMarkSkip val="1"/>
      </c:catAx>
      <c:valAx>
        <c:axId val="8052480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523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386422976501347E-2"/>
          <c:y val="0.21951219512195133"/>
          <c:w val="0.79112271540469969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16.8</c:v>
                </c:pt>
                <c:pt idx="2">
                  <c:v>33.6</c:v>
                </c:pt>
                <c:pt idx="3">
                  <c:v>50.4</c:v>
                </c:pt>
                <c:pt idx="4">
                  <c:v>67.2</c:v>
                </c:pt>
                <c:pt idx="5">
                  <c:v>84</c:v>
                </c:pt>
                <c:pt idx="6">
                  <c:v>100.80000000000001</c:v>
                </c:pt>
                <c:pt idx="7">
                  <c:v>117.60000000000001</c:v>
                </c:pt>
                <c:pt idx="8">
                  <c:v>134.4</c:v>
                </c:pt>
                <c:pt idx="9">
                  <c:v>151.19999999999999</c:v>
                </c:pt>
                <c:pt idx="10">
                  <c:v>168</c:v>
                </c:pt>
                <c:pt idx="11">
                  <c:v>184.79999999999998</c:v>
                </c:pt>
                <c:pt idx="12">
                  <c:v>201.59999999999997</c:v>
                </c:pt>
                <c:pt idx="13">
                  <c:v>218.39999999999995</c:v>
                </c:pt>
                <c:pt idx="14">
                  <c:v>235.2</c:v>
                </c:pt>
                <c:pt idx="15">
                  <c:v>252</c:v>
                </c:pt>
                <c:pt idx="16">
                  <c:v>268.8</c:v>
                </c:pt>
                <c:pt idx="17">
                  <c:v>285.60000000000002</c:v>
                </c:pt>
                <c:pt idx="18">
                  <c:v>302.40000000000003</c:v>
                </c:pt>
                <c:pt idx="19">
                  <c:v>319.20000000000005</c:v>
                </c:pt>
                <c:pt idx="20">
                  <c:v>336.00000000000006</c:v>
                </c:pt>
                <c:pt idx="21">
                  <c:v>352.80000000000007</c:v>
                </c:pt>
                <c:pt idx="22">
                  <c:v>369.60000000000008</c:v>
                </c:pt>
                <c:pt idx="23">
                  <c:v>386.40000000000009</c:v>
                </c:pt>
                <c:pt idx="24">
                  <c:v>403.2000000000001</c:v>
                </c:pt>
                <c:pt idx="25">
                  <c:v>420.00000000000011</c:v>
                </c:pt>
                <c:pt idx="26">
                  <c:v>436.80000000000013</c:v>
                </c:pt>
                <c:pt idx="27">
                  <c:v>453.60000000000014</c:v>
                </c:pt>
                <c:pt idx="28">
                  <c:v>470.40000000000015</c:v>
                </c:pt>
                <c:pt idx="29">
                  <c:v>487.20000000000016</c:v>
                </c:pt>
                <c:pt idx="30">
                  <c:v>504.00000000000017</c:v>
                </c:pt>
                <c:pt idx="31">
                  <c:v>520.80000000000018</c:v>
                </c:pt>
                <c:pt idx="32">
                  <c:v>537.60000000000025</c:v>
                </c:pt>
                <c:pt idx="33">
                  <c:v>554.4000000000002</c:v>
                </c:pt>
                <c:pt idx="34">
                  <c:v>571.20000000000027</c:v>
                </c:pt>
                <c:pt idx="35">
                  <c:v>588.00000000000023</c:v>
                </c:pt>
                <c:pt idx="36">
                  <c:v>604.8000000000003</c:v>
                </c:pt>
                <c:pt idx="37">
                  <c:v>621.60000000000025</c:v>
                </c:pt>
                <c:pt idx="38">
                  <c:v>638.40000000000032</c:v>
                </c:pt>
                <c:pt idx="39">
                  <c:v>655.20000000000027</c:v>
                </c:pt>
                <c:pt idx="40">
                  <c:v>672.00000000000034</c:v>
                </c:pt>
                <c:pt idx="41">
                  <c:v>688.8000000000003</c:v>
                </c:pt>
                <c:pt idx="42">
                  <c:v>705.60000000000036</c:v>
                </c:pt>
                <c:pt idx="43">
                  <c:v>722.40000000000032</c:v>
                </c:pt>
                <c:pt idx="44">
                  <c:v>739.20000000000039</c:v>
                </c:pt>
                <c:pt idx="45">
                  <c:v>756.00000000000034</c:v>
                </c:pt>
                <c:pt idx="46">
                  <c:v>772.80000000000041</c:v>
                </c:pt>
                <c:pt idx="47">
                  <c:v>789.60000000000048</c:v>
                </c:pt>
                <c:pt idx="48">
                  <c:v>806.40000000000043</c:v>
                </c:pt>
                <c:pt idx="49">
                  <c:v>823.2000000000005</c:v>
                </c:pt>
                <c:pt idx="50">
                  <c:v>840.00000000000034</c:v>
                </c:pt>
              </c:numCache>
            </c:numRef>
          </c:cat>
          <c:val>
            <c:numRef>
              <c:f>'Cant.-Conc. F'!$M$12:$M$62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15.623582766440759</c:v>
                </c:pt>
                <c:pt idx="39">
                  <c:v>34.852607709749677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0706176"/>
        <c:axId val="80712064"/>
      </c:areaChart>
      <c:catAx>
        <c:axId val="8070617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0712064"/>
        <c:crosses val="autoZero"/>
        <c:lblAlgn val="ctr"/>
        <c:lblOffset val="100"/>
        <c:tickLblSkip val="10"/>
        <c:tickMarkSkip val="1"/>
      </c:catAx>
      <c:valAx>
        <c:axId val="80712064"/>
        <c:scaling>
          <c:orientation val="minMax"/>
        </c:scaling>
        <c:delete val="1"/>
        <c:axPos val="l"/>
        <c:numFmt formatCode="General" sourceLinked="1"/>
        <c:tickLblPos val="nextTo"/>
        <c:crossAx val="807061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16.8</c:v>
                </c:pt>
                <c:pt idx="2">
                  <c:v>33.6</c:v>
                </c:pt>
                <c:pt idx="3">
                  <c:v>50.4</c:v>
                </c:pt>
                <c:pt idx="4">
                  <c:v>67.2</c:v>
                </c:pt>
                <c:pt idx="5">
                  <c:v>84</c:v>
                </c:pt>
                <c:pt idx="6">
                  <c:v>100.80000000000001</c:v>
                </c:pt>
                <c:pt idx="7">
                  <c:v>117.60000000000001</c:v>
                </c:pt>
                <c:pt idx="8">
                  <c:v>134.4</c:v>
                </c:pt>
                <c:pt idx="9">
                  <c:v>151.19999999999999</c:v>
                </c:pt>
                <c:pt idx="10">
                  <c:v>168</c:v>
                </c:pt>
                <c:pt idx="11">
                  <c:v>184.79999999999998</c:v>
                </c:pt>
                <c:pt idx="12">
                  <c:v>201.59999999999997</c:v>
                </c:pt>
                <c:pt idx="13">
                  <c:v>218.39999999999995</c:v>
                </c:pt>
                <c:pt idx="14">
                  <c:v>235.2</c:v>
                </c:pt>
                <c:pt idx="15">
                  <c:v>252</c:v>
                </c:pt>
                <c:pt idx="16">
                  <c:v>268.8</c:v>
                </c:pt>
                <c:pt idx="17">
                  <c:v>285.60000000000002</c:v>
                </c:pt>
                <c:pt idx="18">
                  <c:v>302.40000000000003</c:v>
                </c:pt>
                <c:pt idx="19">
                  <c:v>319.20000000000005</c:v>
                </c:pt>
                <c:pt idx="20">
                  <c:v>336.00000000000006</c:v>
                </c:pt>
                <c:pt idx="21">
                  <c:v>352.80000000000007</c:v>
                </c:pt>
                <c:pt idx="22">
                  <c:v>369.60000000000008</c:v>
                </c:pt>
                <c:pt idx="23">
                  <c:v>386.40000000000009</c:v>
                </c:pt>
                <c:pt idx="24">
                  <c:v>403.2000000000001</c:v>
                </c:pt>
                <c:pt idx="25">
                  <c:v>420.00000000000011</c:v>
                </c:pt>
                <c:pt idx="26">
                  <c:v>436.80000000000013</c:v>
                </c:pt>
                <c:pt idx="27">
                  <c:v>453.60000000000014</c:v>
                </c:pt>
                <c:pt idx="28">
                  <c:v>470.40000000000015</c:v>
                </c:pt>
                <c:pt idx="29">
                  <c:v>487.20000000000016</c:v>
                </c:pt>
                <c:pt idx="30">
                  <c:v>504.00000000000017</c:v>
                </c:pt>
                <c:pt idx="31">
                  <c:v>520.80000000000018</c:v>
                </c:pt>
                <c:pt idx="32">
                  <c:v>537.60000000000025</c:v>
                </c:pt>
                <c:pt idx="33">
                  <c:v>554.4000000000002</c:v>
                </c:pt>
                <c:pt idx="34">
                  <c:v>571.20000000000027</c:v>
                </c:pt>
                <c:pt idx="35">
                  <c:v>588.00000000000023</c:v>
                </c:pt>
                <c:pt idx="36">
                  <c:v>604.8000000000003</c:v>
                </c:pt>
                <c:pt idx="37">
                  <c:v>621.60000000000025</c:v>
                </c:pt>
                <c:pt idx="38">
                  <c:v>638.40000000000032</c:v>
                </c:pt>
                <c:pt idx="39">
                  <c:v>655.20000000000027</c:v>
                </c:pt>
                <c:pt idx="40">
                  <c:v>672.00000000000034</c:v>
                </c:pt>
                <c:pt idx="41">
                  <c:v>688.8000000000003</c:v>
                </c:pt>
                <c:pt idx="42">
                  <c:v>705.60000000000036</c:v>
                </c:pt>
                <c:pt idx="43">
                  <c:v>722.40000000000032</c:v>
                </c:pt>
                <c:pt idx="44">
                  <c:v>739.20000000000039</c:v>
                </c:pt>
                <c:pt idx="45">
                  <c:v>756.00000000000034</c:v>
                </c:pt>
                <c:pt idx="46">
                  <c:v>772.80000000000041</c:v>
                </c:pt>
                <c:pt idx="47">
                  <c:v>789.60000000000048</c:v>
                </c:pt>
                <c:pt idx="48">
                  <c:v>806.40000000000043</c:v>
                </c:pt>
                <c:pt idx="49">
                  <c:v>823.2000000000005</c:v>
                </c:pt>
                <c:pt idx="50">
                  <c:v>840.00000000000034</c:v>
                </c:pt>
              </c:numCache>
            </c:numRef>
          </c:cat>
          <c:val>
            <c:numRef>
              <c:f>'Cant.-Conc. F'!$O$12:$O$62</c:f>
              <c:numCache>
                <c:formatCode>General</c:formatCode>
                <c:ptCount val="51"/>
                <c:pt idx="0">
                  <c:v>848</c:v>
                </c:pt>
                <c:pt idx="1">
                  <c:v>848</c:v>
                </c:pt>
                <c:pt idx="2">
                  <c:v>848</c:v>
                </c:pt>
                <c:pt idx="3">
                  <c:v>848</c:v>
                </c:pt>
                <c:pt idx="4">
                  <c:v>848</c:v>
                </c:pt>
                <c:pt idx="5">
                  <c:v>848</c:v>
                </c:pt>
                <c:pt idx="6">
                  <c:v>848</c:v>
                </c:pt>
                <c:pt idx="7">
                  <c:v>848</c:v>
                </c:pt>
                <c:pt idx="8">
                  <c:v>848</c:v>
                </c:pt>
                <c:pt idx="9">
                  <c:v>848</c:v>
                </c:pt>
                <c:pt idx="10">
                  <c:v>848</c:v>
                </c:pt>
                <c:pt idx="11">
                  <c:v>848</c:v>
                </c:pt>
                <c:pt idx="12">
                  <c:v>848</c:v>
                </c:pt>
                <c:pt idx="13">
                  <c:v>848</c:v>
                </c:pt>
                <c:pt idx="14">
                  <c:v>848</c:v>
                </c:pt>
                <c:pt idx="15">
                  <c:v>848</c:v>
                </c:pt>
                <c:pt idx="16">
                  <c:v>848</c:v>
                </c:pt>
                <c:pt idx="17">
                  <c:v>848</c:v>
                </c:pt>
                <c:pt idx="18">
                  <c:v>848</c:v>
                </c:pt>
                <c:pt idx="19">
                  <c:v>848</c:v>
                </c:pt>
                <c:pt idx="20">
                  <c:v>848</c:v>
                </c:pt>
                <c:pt idx="21">
                  <c:v>848</c:v>
                </c:pt>
                <c:pt idx="22">
                  <c:v>848</c:v>
                </c:pt>
                <c:pt idx="23">
                  <c:v>848</c:v>
                </c:pt>
                <c:pt idx="24">
                  <c:v>848</c:v>
                </c:pt>
                <c:pt idx="25">
                  <c:v>848</c:v>
                </c:pt>
                <c:pt idx="26">
                  <c:v>848</c:v>
                </c:pt>
                <c:pt idx="27">
                  <c:v>848</c:v>
                </c:pt>
                <c:pt idx="28">
                  <c:v>848</c:v>
                </c:pt>
                <c:pt idx="29">
                  <c:v>848</c:v>
                </c:pt>
                <c:pt idx="30">
                  <c:v>848</c:v>
                </c:pt>
                <c:pt idx="31">
                  <c:v>848</c:v>
                </c:pt>
                <c:pt idx="32">
                  <c:v>848</c:v>
                </c:pt>
                <c:pt idx="33">
                  <c:v>848</c:v>
                </c:pt>
                <c:pt idx="34">
                  <c:v>848</c:v>
                </c:pt>
                <c:pt idx="35">
                  <c:v>848</c:v>
                </c:pt>
                <c:pt idx="36">
                  <c:v>848</c:v>
                </c:pt>
                <c:pt idx="37">
                  <c:v>848</c:v>
                </c:pt>
                <c:pt idx="38">
                  <c:v>848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0727040"/>
        <c:axId val="80728832"/>
      </c:areaChart>
      <c:catAx>
        <c:axId val="8072704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0728832"/>
        <c:crosses val="autoZero"/>
        <c:lblAlgn val="ctr"/>
        <c:lblOffset val="100"/>
        <c:tickLblSkip val="10"/>
        <c:tickMarkSkip val="1"/>
      </c:catAx>
      <c:valAx>
        <c:axId val="8072883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7270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16.8</c:v>
                </c:pt>
                <c:pt idx="2">
                  <c:v>33.6</c:v>
                </c:pt>
                <c:pt idx="3">
                  <c:v>50.4</c:v>
                </c:pt>
                <c:pt idx="4">
                  <c:v>67.2</c:v>
                </c:pt>
                <c:pt idx="5">
                  <c:v>84</c:v>
                </c:pt>
                <c:pt idx="6">
                  <c:v>100.80000000000001</c:v>
                </c:pt>
                <c:pt idx="7">
                  <c:v>117.60000000000001</c:v>
                </c:pt>
                <c:pt idx="8">
                  <c:v>134.4</c:v>
                </c:pt>
                <c:pt idx="9">
                  <c:v>151.19999999999999</c:v>
                </c:pt>
                <c:pt idx="10">
                  <c:v>168</c:v>
                </c:pt>
                <c:pt idx="11">
                  <c:v>184.79999999999998</c:v>
                </c:pt>
                <c:pt idx="12">
                  <c:v>201.59999999999997</c:v>
                </c:pt>
                <c:pt idx="13">
                  <c:v>218.39999999999995</c:v>
                </c:pt>
                <c:pt idx="14">
                  <c:v>235.2</c:v>
                </c:pt>
                <c:pt idx="15">
                  <c:v>252</c:v>
                </c:pt>
                <c:pt idx="16">
                  <c:v>268.8</c:v>
                </c:pt>
                <c:pt idx="17">
                  <c:v>285.60000000000002</c:v>
                </c:pt>
                <c:pt idx="18">
                  <c:v>302.40000000000003</c:v>
                </c:pt>
                <c:pt idx="19">
                  <c:v>319.20000000000005</c:v>
                </c:pt>
                <c:pt idx="20">
                  <c:v>336.00000000000006</c:v>
                </c:pt>
                <c:pt idx="21">
                  <c:v>352.80000000000007</c:v>
                </c:pt>
                <c:pt idx="22">
                  <c:v>369.60000000000008</c:v>
                </c:pt>
                <c:pt idx="23">
                  <c:v>386.40000000000009</c:v>
                </c:pt>
                <c:pt idx="24">
                  <c:v>403.2000000000001</c:v>
                </c:pt>
                <c:pt idx="25">
                  <c:v>420.00000000000011</c:v>
                </c:pt>
                <c:pt idx="26">
                  <c:v>436.80000000000013</c:v>
                </c:pt>
                <c:pt idx="27">
                  <c:v>453.60000000000014</c:v>
                </c:pt>
                <c:pt idx="28">
                  <c:v>470.40000000000015</c:v>
                </c:pt>
                <c:pt idx="29">
                  <c:v>487.20000000000016</c:v>
                </c:pt>
                <c:pt idx="30">
                  <c:v>504.00000000000017</c:v>
                </c:pt>
                <c:pt idx="31">
                  <c:v>520.80000000000018</c:v>
                </c:pt>
                <c:pt idx="32">
                  <c:v>537.60000000000025</c:v>
                </c:pt>
                <c:pt idx="33">
                  <c:v>554.4000000000002</c:v>
                </c:pt>
                <c:pt idx="34">
                  <c:v>571.20000000000027</c:v>
                </c:pt>
                <c:pt idx="35">
                  <c:v>588.00000000000023</c:v>
                </c:pt>
                <c:pt idx="36">
                  <c:v>604.8000000000003</c:v>
                </c:pt>
                <c:pt idx="37">
                  <c:v>621.60000000000025</c:v>
                </c:pt>
                <c:pt idx="38">
                  <c:v>638.40000000000032</c:v>
                </c:pt>
                <c:pt idx="39">
                  <c:v>655.20000000000027</c:v>
                </c:pt>
                <c:pt idx="40">
                  <c:v>672.00000000000034</c:v>
                </c:pt>
                <c:pt idx="41">
                  <c:v>688.8000000000003</c:v>
                </c:pt>
                <c:pt idx="42">
                  <c:v>705.60000000000036</c:v>
                </c:pt>
                <c:pt idx="43">
                  <c:v>722.40000000000032</c:v>
                </c:pt>
                <c:pt idx="44">
                  <c:v>739.20000000000039</c:v>
                </c:pt>
                <c:pt idx="45">
                  <c:v>756.00000000000034</c:v>
                </c:pt>
                <c:pt idx="46">
                  <c:v>772.80000000000041</c:v>
                </c:pt>
                <c:pt idx="47">
                  <c:v>789.60000000000048</c:v>
                </c:pt>
                <c:pt idx="48">
                  <c:v>806.40000000000043</c:v>
                </c:pt>
                <c:pt idx="49">
                  <c:v>823.2000000000005</c:v>
                </c:pt>
                <c:pt idx="50">
                  <c:v>840.00000000000034</c:v>
                </c:pt>
              </c:numCache>
            </c:numRef>
          </c:cat>
          <c:val>
            <c:numRef>
              <c:f>'Cant.-Conc. F'!$Q$12:$Q$62</c:f>
              <c:numCache>
                <c:formatCode>General</c:formatCode>
                <c:ptCount val="51"/>
                <c:pt idx="0">
                  <c:v>-551200</c:v>
                </c:pt>
                <c:pt idx="1">
                  <c:v>-536953.60000000009</c:v>
                </c:pt>
                <c:pt idx="2">
                  <c:v>-522707.19999999995</c:v>
                </c:pt>
                <c:pt idx="3">
                  <c:v>-508460.80000000005</c:v>
                </c:pt>
                <c:pt idx="4">
                  <c:v>-494214.39999999997</c:v>
                </c:pt>
                <c:pt idx="5">
                  <c:v>-479968</c:v>
                </c:pt>
                <c:pt idx="6">
                  <c:v>-465721.60000000003</c:v>
                </c:pt>
                <c:pt idx="7">
                  <c:v>-451475.19999999995</c:v>
                </c:pt>
                <c:pt idx="8">
                  <c:v>-437228.80000000005</c:v>
                </c:pt>
                <c:pt idx="9">
                  <c:v>-422982.40000000002</c:v>
                </c:pt>
                <c:pt idx="10">
                  <c:v>-408736</c:v>
                </c:pt>
                <c:pt idx="11">
                  <c:v>-394489.60000000003</c:v>
                </c:pt>
                <c:pt idx="12">
                  <c:v>-380243.20000000001</c:v>
                </c:pt>
                <c:pt idx="13">
                  <c:v>-365996.80000000005</c:v>
                </c:pt>
                <c:pt idx="14">
                  <c:v>-351750.40000000002</c:v>
                </c:pt>
                <c:pt idx="15">
                  <c:v>-337504</c:v>
                </c:pt>
                <c:pt idx="16">
                  <c:v>-323257.59999999998</c:v>
                </c:pt>
                <c:pt idx="17">
                  <c:v>-309011.19999999995</c:v>
                </c:pt>
                <c:pt idx="18">
                  <c:v>-294764.79999999999</c:v>
                </c:pt>
                <c:pt idx="19">
                  <c:v>-280518.39999999997</c:v>
                </c:pt>
                <c:pt idx="20">
                  <c:v>-266271.99999999994</c:v>
                </c:pt>
                <c:pt idx="21">
                  <c:v>-252025.59999999995</c:v>
                </c:pt>
                <c:pt idx="22">
                  <c:v>-237779.19999999992</c:v>
                </c:pt>
                <c:pt idx="23">
                  <c:v>-223532.79999999993</c:v>
                </c:pt>
                <c:pt idx="24">
                  <c:v>-209286.39999999991</c:v>
                </c:pt>
                <c:pt idx="25">
                  <c:v>-195039.99999999991</c:v>
                </c:pt>
                <c:pt idx="26">
                  <c:v>-180793.59999999989</c:v>
                </c:pt>
                <c:pt idx="27">
                  <c:v>-166547.1999999999</c:v>
                </c:pt>
                <c:pt idx="28">
                  <c:v>-152300.79999999987</c:v>
                </c:pt>
                <c:pt idx="29">
                  <c:v>-138054.39999999988</c:v>
                </c:pt>
                <c:pt idx="30">
                  <c:v>-123807.99999999985</c:v>
                </c:pt>
                <c:pt idx="31">
                  <c:v>-109561.59999999985</c:v>
                </c:pt>
                <c:pt idx="32">
                  <c:v>-95315.199999999793</c:v>
                </c:pt>
                <c:pt idx="33">
                  <c:v>-81068.799999999828</c:v>
                </c:pt>
                <c:pt idx="34">
                  <c:v>-66822.399999999761</c:v>
                </c:pt>
                <c:pt idx="35">
                  <c:v>-52575.999999999811</c:v>
                </c:pt>
                <c:pt idx="36">
                  <c:v>-38329.599999999751</c:v>
                </c:pt>
                <c:pt idx="37">
                  <c:v>-24083.199999999786</c:v>
                </c:pt>
                <c:pt idx="38">
                  <c:v>-9836.7999999997301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0944512"/>
        <c:axId val="80950400"/>
      </c:areaChart>
      <c:catAx>
        <c:axId val="8094451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0950400"/>
        <c:crosses val="autoZero"/>
        <c:lblAlgn val="ctr"/>
        <c:lblOffset val="100"/>
        <c:tickLblSkip val="10"/>
        <c:tickMarkSkip val="1"/>
      </c:catAx>
      <c:valAx>
        <c:axId val="8095040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944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872416416126345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'Cant.-Conc.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16.8</c:v>
                </c:pt>
                <c:pt idx="2">
                  <c:v>33.6</c:v>
                </c:pt>
                <c:pt idx="3">
                  <c:v>50.4</c:v>
                </c:pt>
                <c:pt idx="4">
                  <c:v>67.2</c:v>
                </c:pt>
                <c:pt idx="5">
                  <c:v>84</c:v>
                </c:pt>
                <c:pt idx="6">
                  <c:v>100.80000000000001</c:v>
                </c:pt>
                <c:pt idx="7">
                  <c:v>117.60000000000001</c:v>
                </c:pt>
                <c:pt idx="8">
                  <c:v>134.4</c:v>
                </c:pt>
                <c:pt idx="9">
                  <c:v>151.19999999999999</c:v>
                </c:pt>
                <c:pt idx="10">
                  <c:v>168</c:v>
                </c:pt>
                <c:pt idx="11">
                  <c:v>184.79999999999998</c:v>
                </c:pt>
                <c:pt idx="12">
                  <c:v>201.59999999999997</c:v>
                </c:pt>
                <c:pt idx="13">
                  <c:v>218.39999999999995</c:v>
                </c:pt>
                <c:pt idx="14">
                  <c:v>235.2</c:v>
                </c:pt>
                <c:pt idx="15">
                  <c:v>252</c:v>
                </c:pt>
                <c:pt idx="16">
                  <c:v>268.8</c:v>
                </c:pt>
                <c:pt idx="17">
                  <c:v>285.60000000000002</c:v>
                </c:pt>
                <c:pt idx="18">
                  <c:v>302.40000000000003</c:v>
                </c:pt>
                <c:pt idx="19">
                  <c:v>319.20000000000005</c:v>
                </c:pt>
                <c:pt idx="20">
                  <c:v>336.00000000000006</c:v>
                </c:pt>
                <c:pt idx="21">
                  <c:v>352.80000000000007</c:v>
                </c:pt>
                <c:pt idx="22">
                  <c:v>369.60000000000008</c:v>
                </c:pt>
                <c:pt idx="23">
                  <c:v>386.40000000000009</c:v>
                </c:pt>
                <c:pt idx="24">
                  <c:v>403.2000000000001</c:v>
                </c:pt>
                <c:pt idx="25">
                  <c:v>420.00000000000011</c:v>
                </c:pt>
                <c:pt idx="26">
                  <c:v>436.80000000000013</c:v>
                </c:pt>
                <c:pt idx="27">
                  <c:v>453.60000000000014</c:v>
                </c:pt>
                <c:pt idx="28">
                  <c:v>470.40000000000015</c:v>
                </c:pt>
                <c:pt idx="29">
                  <c:v>487.20000000000016</c:v>
                </c:pt>
                <c:pt idx="30">
                  <c:v>504.00000000000017</c:v>
                </c:pt>
                <c:pt idx="31">
                  <c:v>520.80000000000018</c:v>
                </c:pt>
                <c:pt idx="32">
                  <c:v>537.60000000000025</c:v>
                </c:pt>
                <c:pt idx="33">
                  <c:v>554.4000000000002</c:v>
                </c:pt>
                <c:pt idx="34">
                  <c:v>571.20000000000027</c:v>
                </c:pt>
                <c:pt idx="35">
                  <c:v>588.00000000000023</c:v>
                </c:pt>
                <c:pt idx="36">
                  <c:v>604.8000000000003</c:v>
                </c:pt>
                <c:pt idx="37">
                  <c:v>621.60000000000025</c:v>
                </c:pt>
                <c:pt idx="38">
                  <c:v>638.40000000000032</c:v>
                </c:pt>
                <c:pt idx="39">
                  <c:v>655.20000000000027</c:v>
                </c:pt>
                <c:pt idx="40">
                  <c:v>672.00000000000034</c:v>
                </c:pt>
                <c:pt idx="41">
                  <c:v>688.8000000000003</c:v>
                </c:pt>
                <c:pt idx="42">
                  <c:v>705.60000000000036</c:v>
                </c:pt>
                <c:pt idx="43">
                  <c:v>722.40000000000032</c:v>
                </c:pt>
                <c:pt idx="44">
                  <c:v>739.20000000000039</c:v>
                </c:pt>
                <c:pt idx="45">
                  <c:v>756.00000000000034</c:v>
                </c:pt>
                <c:pt idx="46">
                  <c:v>772.80000000000041</c:v>
                </c:pt>
                <c:pt idx="47">
                  <c:v>789.60000000000048</c:v>
                </c:pt>
                <c:pt idx="48">
                  <c:v>806.40000000000043</c:v>
                </c:pt>
                <c:pt idx="49">
                  <c:v>823.2000000000005</c:v>
                </c:pt>
                <c:pt idx="50">
                  <c:v>840.00000000000034</c:v>
                </c:pt>
              </c:numCache>
            </c:numRef>
          </c:cat>
          <c:val>
            <c:numRef>
              <c:f>'Cant.-Conc. F'!$N$12:$N$62</c:f>
              <c:numCache>
                <c:formatCode>General</c:formatCode>
                <c:ptCount val="51"/>
                <c:pt idx="0">
                  <c:v>0</c:v>
                </c:pt>
                <c:pt idx="1">
                  <c:v>-8.7389879230051898E-2</c:v>
                </c:pt>
                <c:pt idx="2">
                  <c:v>-0.34652175575516547</c:v>
                </c:pt>
                <c:pt idx="3">
                  <c:v>-0.77283898782777738</c:v>
                </c:pt>
                <c:pt idx="4">
                  <c:v>-1.3617849337003245</c:v>
                </c:pt>
                <c:pt idx="5">
                  <c:v>-2.1088029516252438</c:v>
                </c:pt>
                <c:pt idx="6">
                  <c:v>-3.0093363998549725</c:v>
                </c:pt>
                <c:pt idx="7">
                  <c:v>-4.0588286366419455</c:v>
                </c:pt>
                <c:pt idx="8">
                  <c:v>-5.2527230202385997</c:v>
                </c:pt>
                <c:pt idx="9">
                  <c:v>-6.5864629088973734</c:v>
                </c:pt>
                <c:pt idx="10">
                  <c:v>-8.0554916608707057</c:v>
                </c:pt>
                <c:pt idx="11">
                  <c:v>-9.6552526344110277</c:v>
                </c:pt>
                <c:pt idx="12">
                  <c:v>-11.381189187770778</c:v>
                </c:pt>
                <c:pt idx="13">
                  <c:v>-13.228744679202395</c:v>
                </c:pt>
                <c:pt idx="14">
                  <c:v>-15.193362466958318</c:v>
                </c:pt>
                <c:pt idx="15">
                  <c:v>-17.270485909290983</c:v>
                </c:pt>
                <c:pt idx="16">
                  <c:v>-19.45555836445282</c:v>
                </c:pt>
                <c:pt idx="17">
                  <c:v>-21.744023190696275</c:v>
                </c:pt>
                <c:pt idx="18">
                  <c:v>-24.131323746273779</c:v>
                </c:pt>
                <c:pt idx="19">
                  <c:v>-26.612903389437765</c:v>
                </c:pt>
                <c:pt idx="20">
                  <c:v>-29.184205478440681</c:v>
                </c:pt>
                <c:pt idx="21">
                  <c:v>-31.840673371534951</c:v>
                </c:pt>
                <c:pt idx="22">
                  <c:v>-34.577750426973026</c:v>
                </c:pt>
                <c:pt idx="23">
                  <c:v>-37.390880003007325</c:v>
                </c:pt>
                <c:pt idx="24">
                  <c:v>-40.275505457890304</c:v>
                </c:pt>
                <c:pt idx="25">
                  <c:v>-43.227070149874386</c:v>
                </c:pt>
                <c:pt idx="26">
                  <c:v>-46.241017437212015</c:v>
                </c:pt>
                <c:pt idx="27">
                  <c:v>-49.312790678155629</c:v>
                </c:pt>
                <c:pt idx="28">
                  <c:v>-52.437833230957644</c:v>
                </c:pt>
                <c:pt idx="29">
                  <c:v>-55.611588453870532</c:v>
                </c:pt>
                <c:pt idx="30">
                  <c:v>-58.829499705146702</c:v>
                </c:pt>
                <c:pt idx="31">
                  <c:v>-62.0870103430386</c:v>
                </c:pt>
                <c:pt idx="32">
                  <c:v>-65.379563725798675</c:v>
                </c:pt>
                <c:pt idx="33">
                  <c:v>-68.702603211679332</c:v>
                </c:pt>
                <c:pt idx="34">
                  <c:v>-72.051572158933041</c:v>
                </c:pt>
                <c:pt idx="35">
                  <c:v>-75.421913925812234</c:v>
                </c:pt>
                <c:pt idx="36">
                  <c:v>-78.809071870569326</c:v>
                </c:pt>
                <c:pt idx="37">
                  <c:v>-82.208489351456734</c:v>
                </c:pt>
                <c:pt idx="38">
                  <c:v>-85.615609726726987</c:v>
                </c:pt>
                <c:pt idx="39">
                  <c:v>-89.025898875017916</c:v>
                </c:pt>
                <c:pt idx="40">
                  <c:v>-92.436438023163944</c:v>
                </c:pt>
                <c:pt idx="41">
                  <c:v>-95.846977171309959</c:v>
                </c:pt>
                <c:pt idx="42">
                  <c:v>-99.257516319455988</c:v>
                </c:pt>
                <c:pt idx="43">
                  <c:v>-102.66805546760199</c:v>
                </c:pt>
                <c:pt idx="44">
                  <c:v>-106.07859461574803</c:v>
                </c:pt>
                <c:pt idx="45">
                  <c:v>-109.48913376389403</c:v>
                </c:pt>
                <c:pt idx="46">
                  <c:v>-112.89967291204009</c:v>
                </c:pt>
                <c:pt idx="47">
                  <c:v>-116.3102120601861</c:v>
                </c:pt>
                <c:pt idx="48">
                  <c:v>-119.7207512083321</c:v>
                </c:pt>
                <c:pt idx="49">
                  <c:v>-123.13129035647812</c:v>
                </c:pt>
                <c:pt idx="50">
                  <c:v>-126.54182950462412</c:v>
                </c:pt>
              </c:numCache>
            </c:numRef>
          </c:val>
          <c:smooth val="1"/>
        </c:ser>
        <c:marker val="1"/>
        <c:axId val="80977920"/>
        <c:axId val="80979456"/>
      </c:lineChart>
      <c:catAx>
        <c:axId val="8097792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80979456"/>
        <c:crosses val="autoZero"/>
        <c:lblAlgn val="ctr"/>
        <c:lblOffset val="100"/>
        <c:tickLblSkip val="10"/>
        <c:tickMarkSkip val="1"/>
      </c:catAx>
      <c:valAx>
        <c:axId val="8097945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977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386422976501347E-2"/>
          <c:y val="0.21951219512195133"/>
          <c:w val="0.79112271540469969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000000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 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 Conc. M'!$S$12:$S$62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919.05381944448561</c:v>
                </c:pt>
                <c:pt idx="32">
                  <c:v>3091.3628472221744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1382784"/>
        <c:axId val="81400960"/>
      </c:areaChart>
      <c:catAx>
        <c:axId val="81382784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1400960"/>
        <c:crosses val="autoZero"/>
        <c:lblAlgn val="ctr"/>
        <c:lblOffset val="100"/>
        <c:tickLblSkip val="10"/>
        <c:tickMarkSkip val="1"/>
      </c:catAx>
      <c:valAx>
        <c:axId val="8140096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13827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 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 Conc. M'!$O$12:$O$62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1432576"/>
        <c:axId val="81434112"/>
      </c:areaChart>
      <c:catAx>
        <c:axId val="81432576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1434112"/>
        <c:crosses val="autoZero"/>
        <c:lblAlgn val="ctr"/>
        <c:lblOffset val="100"/>
        <c:tickLblSkip val="10"/>
        <c:tickMarkSkip val="1"/>
      </c:catAx>
      <c:valAx>
        <c:axId val="8143411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1432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 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 Conc. M'!$Q$12:$Q$62</c:f>
              <c:numCache>
                <c:formatCode>General</c:formatCode>
                <c:ptCount val="51"/>
                <c:pt idx="0">
                  <c:v>-77000</c:v>
                </c:pt>
                <c:pt idx="1">
                  <c:v>-77000</c:v>
                </c:pt>
                <c:pt idx="2">
                  <c:v>-77000</c:v>
                </c:pt>
                <c:pt idx="3">
                  <c:v>-77000</c:v>
                </c:pt>
                <c:pt idx="4">
                  <c:v>-77000</c:v>
                </c:pt>
                <c:pt idx="5">
                  <c:v>-77000</c:v>
                </c:pt>
                <c:pt idx="6">
                  <c:v>-77000</c:v>
                </c:pt>
                <c:pt idx="7">
                  <c:v>-77000</c:v>
                </c:pt>
                <c:pt idx="8">
                  <c:v>-77000</c:v>
                </c:pt>
                <c:pt idx="9">
                  <c:v>-77000</c:v>
                </c:pt>
                <c:pt idx="10">
                  <c:v>-77000</c:v>
                </c:pt>
                <c:pt idx="11">
                  <c:v>-77000</c:v>
                </c:pt>
                <c:pt idx="12">
                  <c:v>-77000</c:v>
                </c:pt>
                <c:pt idx="13">
                  <c:v>-77000</c:v>
                </c:pt>
                <c:pt idx="14">
                  <c:v>-77000</c:v>
                </c:pt>
                <c:pt idx="15">
                  <c:v>-77000</c:v>
                </c:pt>
                <c:pt idx="16">
                  <c:v>-77000</c:v>
                </c:pt>
                <c:pt idx="17">
                  <c:v>-77000</c:v>
                </c:pt>
                <c:pt idx="18">
                  <c:v>-77000</c:v>
                </c:pt>
                <c:pt idx="19">
                  <c:v>-77000</c:v>
                </c:pt>
                <c:pt idx="20">
                  <c:v>-77000</c:v>
                </c:pt>
                <c:pt idx="21">
                  <c:v>-77000</c:v>
                </c:pt>
                <c:pt idx="22">
                  <c:v>-77000</c:v>
                </c:pt>
                <c:pt idx="23">
                  <c:v>-77000</c:v>
                </c:pt>
                <c:pt idx="24">
                  <c:v>-77000</c:v>
                </c:pt>
                <c:pt idx="25">
                  <c:v>-77000</c:v>
                </c:pt>
                <c:pt idx="26">
                  <c:v>-77000</c:v>
                </c:pt>
                <c:pt idx="27">
                  <c:v>-77000</c:v>
                </c:pt>
                <c:pt idx="28">
                  <c:v>-77000</c:v>
                </c:pt>
                <c:pt idx="29">
                  <c:v>-77000</c:v>
                </c:pt>
                <c:pt idx="30">
                  <c:v>-77000</c:v>
                </c:pt>
                <c:pt idx="31">
                  <c:v>-77000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1449344"/>
        <c:axId val="81450880"/>
      </c:areaChart>
      <c:catAx>
        <c:axId val="8144934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1450880"/>
        <c:crosses val="autoZero"/>
        <c:lblAlgn val="ctr"/>
        <c:lblOffset val="100"/>
        <c:tickLblSkip val="10"/>
        <c:tickMarkSkip val="1"/>
      </c:catAx>
      <c:valAx>
        <c:axId val="8145088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14493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9020900496250954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'Cant. 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 Conc. M'!$N$12:$N$62</c:f>
              <c:numCache>
                <c:formatCode>General</c:formatCode>
                <c:ptCount val="51"/>
                <c:pt idx="0">
                  <c:v>0</c:v>
                </c:pt>
                <c:pt idx="1">
                  <c:v>-1.6083641131817324E-2</c:v>
                </c:pt>
                <c:pt idx="2">
                  <c:v>-6.4334564527269295E-2</c:v>
                </c:pt>
                <c:pt idx="3">
                  <c:v>-0.14475277018635588</c:v>
                </c:pt>
                <c:pt idx="4">
                  <c:v>-0.25733825810907718</c:v>
                </c:pt>
                <c:pt idx="5">
                  <c:v>-0.40209102829543308</c:v>
                </c:pt>
                <c:pt idx="6">
                  <c:v>-0.57901108074542373</c:v>
                </c:pt>
                <c:pt idx="7">
                  <c:v>-0.7880984154590488</c:v>
                </c:pt>
                <c:pt idx="8">
                  <c:v>-1.0293530324363087</c:v>
                </c:pt>
                <c:pt idx="9">
                  <c:v>-1.3027749316772028</c:v>
                </c:pt>
                <c:pt idx="10">
                  <c:v>-1.6083641131817319</c:v>
                </c:pt>
                <c:pt idx="11">
                  <c:v>-1.9461205769498959</c:v>
                </c:pt>
                <c:pt idx="12">
                  <c:v>-2.316044322981694</c:v>
                </c:pt>
                <c:pt idx="13">
                  <c:v>-2.7181353512771271</c:v>
                </c:pt>
                <c:pt idx="14">
                  <c:v>-3.1523936618361943</c:v>
                </c:pt>
                <c:pt idx="15">
                  <c:v>-3.6188192546588978</c:v>
                </c:pt>
                <c:pt idx="16">
                  <c:v>-4.1174121297452349</c:v>
                </c:pt>
                <c:pt idx="17">
                  <c:v>-4.6481722870952078</c:v>
                </c:pt>
                <c:pt idx="18">
                  <c:v>-5.2110997267088139</c:v>
                </c:pt>
                <c:pt idx="19">
                  <c:v>-5.8061944485860559</c:v>
                </c:pt>
                <c:pt idx="20">
                  <c:v>-6.4334564527269311</c:v>
                </c:pt>
                <c:pt idx="21">
                  <c:v>-7.092885739131443</c:v>
                </c:pt>
                <c:pt idx="22">
                  <c:v>-7.7844823077995882</c:v>
                </c:pt>
                <c:pt idx="23">
                  <c:v>-8.5082461587313691</c:v>
                </c:pt>
                <c:pt idx="24">
                  <c:v>-9.2641772919267833</c:v>
                </c:pt>
                <c:pt idx="25">
                  <c:v>-10.052275707385832</c:v>
                </c:pt>
                <c:pt idx="26">
                  <c:v>-10.872541405108516</c:v>
                </c:pt>
                <c:pt idx="27">
                  <c:v>-11.724974385094834</c:v>
                </c:pt>
                <c:pt idx="28">
                  <c:v>-12.609574647344788</c:v>
                </c:pt>
                <c:pt idx="29">
                  <c:v>-13.526342191858379</c:v>
                </c:pt>
                <c:pt idx="30">
                  <c:v>-14.475277018635602</c:v>
                </c:pt>
                <c:pt idx="31">
                  <c:v>-15.456379127676456</c:v>
                </c:pt>
                <c:pt idx="32">
                  <c:v>-16.468803848591648</c:v>
                </c:pt>
                <c:pt idx="33">
                  <c:v>-17.490785212175879</c:v>
                </c:pt>
                <c:pt idx="34">
                  <c:v>-18.512766575760104</c:v>
                </c:pt>
                <c:pt idx="35">
                  <c:v>-19.534747939344328</c:v>
                </c:pt>
                <c:pt idx="36">
                  <c:v>-20.556729302928559</c:v>
                </c:pt>
                <c:pt idx="37">
                  <c:v>-21.578710666512784</c:v>
                </c:pt>
                <c:pt idx="38">
                  <c:v>-22.600692030097015</c:v>
                </c:pt>
                <c:pt idx="39">
                  <c:v>-23.622673393681239</c:v>
                </c:pt>
                <c:pt idx="40">
                  <c:v>-24.644654757265464</c:v>
                </c:pt>
                <c:pt idx="41">
                  <c:v>-25.666636120849695</c:v>
                </c:pt>
                <c:pt idx="42">
                  <c:v>-26.688617484433919</c:v>
                </c:pt>
                <c:pt idx="43">
                  <c:v>-27.710598848018144</c:v>
                </c:pt>
                <c:pt idx="44">
                  <c:v>-28.732580211602368</c:v>
                </c:pt>
                <c:pt idx="45">
                  <c:v>-29.754561575186599</c:v>
                </c:pt>
                <c:pt idx="46">
                  <c:v>-30.776542938770831</c:v>
                </c:pt>
                <c:pt idx="47">
                  <c:v>-31.798524302355048</c:v>
                </c:pt>
                <c:pt idx="48">
                  <c:v>-32.82050566593928</c:v>
                </c:pt>
                <c:pt idx="49">
                  <c:v>-33.842487029523504</c:v>
                </c:pt>
                <c:pt idx="50">
                  <c:v>-34.864468393107728</c:v>
                </c:pt>
              </c:numCache>
            </c:numRef>
          </c:val>
          <c:smooth val="1"/>
        </c:ser>
        <c:marker val="1"/>
        <c:axId val="81752832"/>
        <c:axId val="81754368"/>
      </c:lineChart>
      <c:catAx>
        <c:axId val="8175283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81754368"/>
        <c:crosses val="autoZero"/>
        <c:lblAlgn val="ctr"/>
        <c:lblOffset val="100"/>
        <c:tickLblSkip val="10"/>
        <c:tickMarkSkip val="1"/>
      </c:catAx>
      <c:valAx>
        <c:axId val="8175436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1752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'Cant.-Dist.A'!$L$12:$L$62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'Cant.-Dist.A'!$M$12:$M$62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4.7</c:v>
                </c:pt>
                <c:pt idx="29">
                  <c:v>4.7</c:v>
                </c:pt>
                <c:pt idx="30">
                  <c:v>4.7</c:v>
                </c:pt>
                <c:pt idx="31">
                  <c:v>4.7</c:v>
                </c:pt>
                <c:pt idx="32">
                  <c:v>4.7</c:v>
                </c:pt>
                <c:pt idx="33">
                  <c:v>4.7</c:v>
                </c:pt>
                <c:pt idx="34">
                  <c:v>4.7</c:v>
                </c:pt>
                <c:pt idx="35">
                  <c:v>4.7</c:v>
                </c:pt>
                <c:pt idx="36">
                  <c:v>4.7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2129280"/>
        <c:axId val="82130816"/>
      </c:areaChart>
      <c:catAx>
        <c:axId val="8212928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2130816"/>
        <c:crosses val="autoZero"/>
        <c:lblAlgn val="ctr"/>
        <c:lblOffset val="100"/>
        <c:tickLblSkip val="10"/>
        <c:tickMarkSkip val="1"/>
      </c:catAx>
      <c:valAx>
        <c:axId val="82130816"/>
        <c:scaling>
          <c:orientation val="minMax"/>
        </c:scaling>
        <c:delete val="1"/>
        <c:axPos val="l"/>
        <c:numFmt formatCode="General" sourceLinked="1"/>
        <c:tickLblPos val="nextTo"/>
        <c:crossAx val="821292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731343283582075E-2"/>
          <c:y val="7.3446732911441354E-2"/>
          <c:w val="0.907462686567164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Conc. F'!$Q$12:$Q$62</c:f>
              <c:numCache>
                <c:formatCode>General</c:formatCode>
                <c:ptCount val="51"/>
                <c:pt idx="0">
                  <c:v>0</c:v>
                </c:pt>
                <c:pt idx="1">
                  <c:v>11.52</c:v>
                </c:pt>
                <c:pt idx="2">
                  <c:v>23.04</c:v>
                </c:pt>
                <c:pt idx="3">
                  <c:v>34.56</c:v>
                </c:pt>
                <c:pt idx="4">
                  <c:v>46.08</c:v>
                </c:pt>
                <c:pt idx="5">
                  <c:v>57.6</c:v>
                </c:pt>
                <c:pt idx="6">
                  <c:v>69.12</c:v>
                </c:pt>
                <c:pt idx="7">
                  <c:v>80.640000000000015</c:v>
                </c:pt>
                <c:pt idx="8">
                  <c:v>92.16</c:v>
                </c:pt>
                <c:pt idx="9">
                  <c:v>103.67999999999999</c:v>
                </c:pt>
                <c:pt idx="10">
                  <c:v>115.19999999999999</c:v>
                </c:pt>
                <c:pt idx="11">
                  <c:v>126.71999999999998</c:v>
                </c:pt>
                <c:pt idx="12">
                  <c:v>138.23999999999998</c:v>
                </c:pt>
                <c:pt idx="13">
                  <c:v>149.75999999999996</c:v>
                </c:pt>
                <c:pt idx="14">
                  <c:v>161.27999999999997</c:v>
                </c:pt>
                <c:pt idx="15">
                  <c:v>172.79999999999998</c:v>
                </c:pt>
                <c:pt idx="16">
                  <c:v>184.32</c:v>
                </c:pt>
                <c:pt idx="17">
                  <c:v>190.07999999999998</c:v>
                </c:pt>
                <c:pt idx="18">
                  <c:v>184.32</c:v>
                </c:pt>
                <c:pt idx="19">
                  <c:v>178.56</c:v>
                </c:pt>
                <c:pt idx="20">
                  <c:v>172.79999999999998</c:v>
                </c:pt>
                <c:pt idx="21">
                  <c:v>167.03999999999996</c:v>
                </c:pt>
                <c:pt idx="22">
                  <c:v>161.27999999999997</c:v>
                </c:pt>
                <c:pt idx="23">
                  <c:v>155.51999999999995</c:v>
                </c:pt>
                <c:pt idx="24">
                  <c:v>149.75999999999996</c:v>
                </c:pt>
                <c:pt idx="25">
                  <c:v>143.99999999999997</c:v>
                </c:pt>
                <c:pt idx="26">
                  <c:v>138.23999999999995</c:v>
                </c:pt>
                <c:pt idx="27">
                  <c:v>132.47999999999996</c:v>
                </c:pt>
                <c:pt idx="28">
                  <c:v>126.71999999999994</c:v>
                </c:pt>
                <c:pt idx="29">
                  <c:v>120.95999999999995</c:v>
                </c:pt>
                <c:pt idx="30">
                  <c:v>115.19999999999993</c:v>
                </c:pt>
                <c:pt idx="31">
                  <c:v>109.43999999999994</c:v>
                </c:pt>
                <c:pt idx="32">
                  <c:v>103.67999999999992</c:v>
                </c:pt>
                <c:pt idx="33">
                  <c:v>97.919999999999931</c:v>
                </c:pt>
                <c:pt idx="34">
                  <c:v>92.159999999999911</c:v>
                </c:pt>
                <c:pt idx="35">
                  <c:v>86.39999999999992</c:v>
                </c:pt>
                <c:pt idx="36">
                  <c:v>80.639999999999901</c:v>
                </c:pt>
                <c:pt idx="37">
                  <c:v>74.87999999999991</c:v>
                </c:pt>
                <c:pt idx="38">
                  <c:v>69.119999999999891</c:v>
                </c:pt>
                <c:pt idx="39">
                  <c:v>63.3599999999999</c:v>
                </c:pt>
                <c:pt idx="40">
                  <c:v>57.599999999999881</c:v>
                </c:pt>
                <c:pt idx="41">
                  <c:v>51.83999999999989</c:v>
                </c:pt>
                <c:pt idx="42">
                  <c:v>46.07999999999987</c:v>
                </c:pt>
                <c:pt idx="43">
                  <c:v>40.319999999999879</c:v>
                </c:pt>
                <c:pt idx="44">
                  <c:v>34.55999999999986</c:v>
                </c:pt>
                <c:pt idx="45">
                  <c:v>28.799999999999841</c:v>
                </c:pt>
                <c:pt idx="46">
                  <c:v>23.03999999999985</c:v>
                </c:pt>
                <c:pt idx="47">
                  <c:v>17.279999999999859</c:v>
                </c:pt>
                <c:pt idx="48">
                  <c:v>11.519999999999868</c:v>
                </c:pt>
                <c:pt idx="49">
                  <c:v>5.7599999999998204</c:v>
                </c:pt>
                <c:pt idx="50">
                  <c:v>-1.1368683772161603E-13</c:v>
                </c:pt>
              </c:numCache>
            </c:numRef>
          </c:val>
        </c:ser>
        <c:axId val="75878784"/>
        <c:axId val="75880320"/>
      </c:areaChart>
      <c:catAx>
        <c:axId val="7587878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5880320"/>
        <c:crosses val="autoZero"/>
        <c:lblAlgn val="ctr"/>
        <c:lblOffset val="100"/>
        <c:tickLblSkip val="10"/>
        <c:tickMarkSkip val="1"/>
      </c:catAx>
      <c:valAx>
        <c:axId val="7588032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58787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'Cant.-Dist.A'!$L$12:$L$62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'Cant.-Dist.A'!$O$12:$O$62</c:f>
              <c:numCache>
                <c:formatCode>General</c:formatCode>
                <c:ptCount val="51"/>
                <c:pt idx="0">
                  <c:v>846</c:v>
                </c:pt>
                <c:pt idx="1">
                  <c:v>846</c:v>
                </c:pt>
                <c:pt idx="2">
                  <c:v>846</c:v>
                </c:pt>
                <c:pt idx="3">
                  <c:v>846</c:v>
                </c:pt>
                <c:pt idx="4">
                  <c:v>846</c:v>
                </c:pt>
                <c:pt idx="5">
                  <c:v>846</c:v>
                </c:pt>
                <c:pt idx="6">
                  <c:v>846</c:v>
                </c:pt>
                <c:pt idx="7">
                  <c:v>846</c:v>
                </c:pt>
                <c:pt idx="8">
                  <c:v>846</c:v>
                </c:pt>
                <c:pt idx="9">
                  <c:v>846</c:v>
                </c:pt>
                <c:pt idx="10">
                  <c:v>846</c:v>
                </c:pt>
                <c:pt idx="11">
                  <c:v>846</c:v>
                </c:pt>
                <c:pt idx="12">
                  <c:v>846</c:v>
                </c:pt>
                <c:pt idx="13">
                  <c:v>846</c:v>
                </c:pt>
                <c:pt idx="14">
                  <c:v>846</c:v>
                </c:pt>
                <c:pt idx="15">
                  <c:v>846</c:v>
                </c:pt>
                <c:pt idx="16">
                  <c:v>846</c:v>
                </c:pt>
                <c:pt idx="17">
                  <c:v>846</c:v>
                </c:pt>
                <c:pt idx="18">
                  <c:v>846</c:v>
                </c:pt>
                <c:pt idx="19">
                  <c:v>846</c:v>
                </c:pt>
                <c:pt idx="20">
                  <c:v>846</c:v>
                </c:pt>
                <c:pt idx="21">
                  <c:v>846</c:v>
                </c:pt>
                <c:pt idx="22">
                  <c:v>846</c:v>
                </c:pt>
                <c:pt idx="23">
                  <c:v>846</c:v>
                </c:pt>
                <c:pt idx="24">
                  <c:v>846</c:v>
                </c:pt>
                <c:pt idx="25">
                  <c:v>846</c:v>
                </c:pt>
                <c:pt idx="26">
                  <c:v>846</c:v>
                </c:pt>
                <c:pt idx="27">
                  <c:v>846</c:v>
                </c:pt>
                <c:pt idx="28">
                  <c:v>763.2799999999994</c:v>
                </c:pt>
                <c:pt idx="29">
                  <c:v>673.03999999999917</c:v>
                </c:pt>
                <c:pt idx="30">
                  <c:v>582.79999999999893</c:v>
                </c:pt>
                <c:pt idx="31">
                  <c:v>492.55999999999926</c:v>
                </c:pt>
                <c:pt idx="32">
                  <c:v>402.31999999999903</c:v>
                </c:pt>
                <c:pt idx="33">
                  <c:v>312.07999999999879</c:v>
                </c:pt>
                <c:pt idx="34">
                  <c:v>221.83999999999855</c:v>
                </c:pt>
                <c:pt idx="35">
                  <c:v>131.59999999999889</c:v>
                </c:pt>
                <c:pt idx="36">
                  <c:v>41.359999999998649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2154240"/>
        <c:axId val="82155776"/>
      </c:areaChart>
      <c:catAx>
        <c:axId val="8215424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2155776"/>
        <c:crosses val="autoZero"/>
        <c:lblAlgn val="ctr"/>
        <c:lblOffset val="100"/>
        <c:tickLblSkip val="10"/>
        <c:tickMarkSkip val="1"/>
      </c:catAx>
      <c:valAx>
        <c:axId val="8215577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21542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'Cant.-Dist.A'!$L$12:$L$62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'Cant.-Dist.A'!$Q$12:$Q$62</c:f>
              <c:numCache>
                <c:formatCode>General</c:formatCode>
                <c:ptCount val="51"/>
                <c:pt idx="0">
                  <c:v>-516060</c:v>
                </c:pt>
                <c:pt idx="1">
                  <c:v>-499816.8</c:v>
                </c:pt>
                <c:pt idx="2">
                  <c:v>-483573.6</c:v>
                </c:pt>
                <c:pt idx="3">
                  <c:v>-467330.4</c:v>
                </c:pt>
                <c:pt idx="4">
                  <c:v>-451087.2</c:v>
                </c:pt>
                <c:pt idx="5">
                  <c:v>-434844</c:v>
                </c:pt>
                <c:pt idx="6">
                  <c:v>-418600.8</c:v>
                </c:pt>
                <c:pt idx="7">
                  <c:v>-402357.6</c:v>
                </c:pt>
                <c:pt idx="8">
                  <c:v>-386114.4</c:v>
                </c:pt>
                <c:pt idx="9">
                  <c:v>-369871.2</c:v>
                </c:pt>
                <c:pt idx="10">
                  <c:v>-353628</c:v>
                </c:pt>
                <c:pt idx="11">
                  <c:v>-337384.80000000005</c:v>
                </c:pt>
                <c:pt idx="12">
                  <c:v>-321141.59999999998</c:v>
                </c:pt>
                <c:pt idx="13">
                  <c:v>-304898.40000000002</c:v>
                </c:pt>
                <c:pt idx="14">
                  <c:v>-288655.20000000007</c:v>
                </c:pt>
                <c:pt idx="15">
                  <c:v>-272412</c:v>
                </c:pt>
                <c:pt idx="16">
                  <c:v>-256168.80000000002</c:v>
                </c:pt>
                <c:pt idx="17">
                  <c:v>-239925.59999999998</c:v>
                </c:pt>
                <c:pt idx="18">
                  <c:v>-223682.39999999997</c:v>
                </c:pt>
                <c:pt idx="19">
                  <c:v>-207439.19999999995</c:v>
                </c:pt>
                <c:pt idx="20">
                  <c:v>-191195.99999999994</c:v>
                </c:pt>
                <c:pt idx="21">
                  <c:v>-174952.79999999993</c:v>
                </c:pt>
                <c:pt idx="22">
                  <c:v>-158709.59999999992</c:v>
                </c:pt>
                <c:pt idx="23">
                  <c:v>-142466.39999999991</c:v>
                </c:pt>
                <c:pt idx="24">
                  <c:v>-126223.1999999999</c:v>
                </c:pt>
                <c:pt idx="25">
                  <c:v>-109979.99999999988</c:v>
                </c:pt>
                <c:pt idx="26">
                  <c:v>-93736.79999999993</c:v>
                </c:pt>
                <c:pt idx="27">
                  <c:v>-77493.599999999919</c:v>
                </c:pt>
                <c:pt idx="28">
                  <c:v>-61978.335999999916</c:v>
                </c:pt>
                <c:pt idx="29">
                  <c:v>-48189.663999999866</c:v>
                </c:pt>
                <c:pt idx="30">
                  <c:v>-36133.599999999889</c:v>
                </c:pt>
                <c:pt idx="31">
                  <c:v>-25810.143999999927</c:v>
                </c:pt>
                <c:pt idx="32">
                  <c:v>-17219.295999999893</c:v>
                </c:pt>
                <c:pt idx="33">
                  <c:v>-10361.055999999928</c:v>
                </c:pt>
                <c:pt idx="34">
                  <c:v>-5235.4239999999118</c:v>
                </c:pt>
                <c:pt idx="35">
                  <c:v>-1842.3999999999287</c:v>
                </c:pt>
                <c:pt idx="36">
                  <c:v>-181.9840000000404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2179200"/>
        <c:axId val="82180736"/>
      </c:areaChart>
      <c:catAx>
        <c:axId val="8217920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2180736"/>
        <c:crosses val="autoZero"/>
        <c:lblAlgn val="ctr"/>
        <c:lblOffset val="100"/>
        <c:tickLblSkip val="10"/>
        <c:tickMarkSkip val="1"/>
      </c:catAx>
      <c:valAx>
        <c:axId val="8218073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21792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872416416126345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'Cant.-Dist.A'!$L$12:$L$62</c:f>
              <c:numCache>
                <c:formatCode>General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'Cant.-Dist.A'!$N$12:$N$62</c:f>
              <c:numCache>
                <c:formatCode>General</c:formatCode>
                <c:ptCount val="51"/>
                <c:pt idx="0">
                  <c:v>0</c:v>
                </c:pt>
                <c:pt idx="1">
                  <c:v>-0.10666286462261736</c:v>
                </c:pt>
                <c:pt idx="2">
                  <c:v>-0.42212765243622985</c:v>
                </c:pt>
                <c:pt idx="3">
                  <c:v>-0.93960865435947794</c:v>
                </c:pt>
                <c:pt idx="4">
                  <c:v>-1.6523201613110028</c:v>
                </c:pt>
                <c:pt idx="5">
                  <c:v>-2.5534764642094445</c:v>
                </c:pt>
                <c:pt idx="6">
                  <c:v>-3.6362918539734448</c:v>
                </c:pt>
                <c:pt idx="7">
                  <c:v>-4.8939806215216421</c:v>
                </c:pt>
                <c:pt idx="8">
                  <c:v>-6.3197570577726792</c:v>
                </c:pt>
                <c:pt idx="9">
                  <c:v>-7.9068354536451935</c:v>
                </c:pt>
                <c:pt idx="10">
                  <c:v>-9.6484301000578299</c:v>
                </c:pt>
                <c:pt idx="11">
                  <c:v>-11.53775528792923</c:v>
                </c:pt>
                <c:pt idx="12">
                  <c:v>-13.568025308178026</c:v>
                </c:pt>
                <c:pt idx="13">
                  <c:v>-15.732454451722868</c:v>
                </c:pt>
                <c:pt idx="14">
                  <c:v>-18.02425700948239</c:v>
                </c:pt>
                <c:pt idx="15">
                  <c:v>-20.436647272375243</c:v>
                </c:pt>
                <c:pt idx="16">
                  <c:v>-22.962839531320057</c:v>
                </c:pt>
                <c:pt idx="17">
                  <c:v>-25.59604807723548</c:v>
                </c:pt>
                <c:pt idx="18">
                  <c:v>-28.329487201040138</c:v>
                </c:pt>
                <c:pt idx="19">
                  <c:v>-31.156371193652685</c:v>
                </c:pt>
                <c:pt idx="20">
                  <c:v>-34.069914345991769</c:v>
                </c:pt>
                <c:pt idx="21">
                  <c:v>-37.063330948976017</c:v>
                </c:pt>
                <c:pt idx="22">
                  <c:v>-40.129835293524067</c:v>
                </c:pt>
                <c:pt idx="23">
                  <c:v>-43.262641670554572</c:v>
                </c:pt>
                <c:pt idx="24">
                  <c:v>-46.454964370986161</c:v>
                </c:pt>
                <c:pt idx="25">
                  <c:v>-49.700017685737478</c:v>
                </c:pt>
                <c:pt idx="26">
                  <c:v>-52.991015905727167</c:v>
                </c:pt>
                <c:pt idx="27">
                  <c:v>-56.321173321873871</c:v>
                </c:pt>
                <c:pt idx="28">
                  <c:v>-59.683725519156283</c:v>
                </c:pt>
                <c:pt idx="29">
                  <c:v>-63.072229910688534</c:v>
                </c:pt>
                <c:pt idx="30">
                  <c:v>-66.480926184882577</c:v>
                </c:pt>
                <c:pt idx="31">
                  <c:v>-69.904777837664753</c:v>
                </c:pt>
                <c:pt idx="32">
                  <c:v>-73.339472173929934</c:v>
                </c:pt>
                <c:pt idx="33">
                  <c:v>-76.78142030754185</c:v>
                </c:pt>
                <c:pt idx="34">
                  <c:v>-80.227757161332761</c:v>
                </c:pt>
                <c:pt idx="35">
                  <c:v>-83.67634146710364</c:v>
                </c:pt>
                <c:pt idx="36">
                  <c:v>-87.125755765624248</c:v>
                </c:pt>
                <c:pt idx="37">
                  <c:v>-90.575303810414823</c:v>
                </c:pt>
                <c:pt idx="38">
                  <c:v>-94.024853186084158</c:v>
                </c:pt>
                <c:pt idx="39">
                  <c:v>-97.474402561753493</c:v>
                </c:pt>
                <c:pt idx="40">
                  <c:v>-100.92395193742283</c:v>
                </c:pt>
                <c:pt idx="41">
                  <c:v>-104.37350131309216</c:v>
                </c:pt>
                <c:pt idx="42">
                  <c:v>-107.8230506887615</c:v>
                </c:pt>
                <c:pt idx="43">
                  <c:v>-111.27260006443083</c:v>
                </c:pt>
                <c:pt idx="44">
                  <c:v>-114.72214944010017</c:v>
                </c:pt>
                <c:pt idx="45">
                  <c:v>-118.1716988157695</c:v>
                </c:pt>
                <c:pt idx="46">
                  <c:v>-121.62124819143887</c:v>
                </c:pt>
                <c:pt idx="47">
                  <c:v>-125.07079756710817</c:v>
                </c:pt>
                <c:pt idx="48">
                  <c:v>-128.52034694277751</c:v>
                </c:pt>
                <c:pt idx="49">
                  <c:v>-131.96989631844687</c:v>
                </c:pt>
                <c:pt idx="50">
                  <c:v>-135.41944569411618</c:v>
                </c:pt>
              </c:numCache>
            </c:numRef>
          </c:val>
          <c:smooth val="1"/>
        </c:ser>
        <c:marker val="1"/>
        <c:axId val="82204160"/>
        <c:axId val="82205696"/>
      </c:lineChart>
      <c:catAx>
        <c:axId val="8220416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82205696"/>
        <c:crosses val="autoZero"/>
        <c:lblAlgn val="ctr"/>
        <c:lblOffset val="100"/>
        <c:tickLblSkip val="10"/>
        <c:tickMarkSkip val="1"/>
      </c:catAx>
      <c:valAx>
        <c:axId val="8220569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22041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'Cant.-Dist.B'!$M$12:$M$62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9.9999999999999982</c:v>
                </c:pt>
                <c:pt idx="26">
                  <c:v>9.5999999999999961</c:v>
                </c:pt>
                <c:pt idx="27">
                  <c:v>9.1999999999999975</c:v>
                </c:pt>
                <c:pt idx="28">
                  <c:v>8.7999999999999954</c:v>
                </c:pt>
                <c:pt idx="29">
                  <c:v>8.3999999999999968</c:v>
                </c:pt>
                <c:pt idx="30">
                  <c:v>7.9999999999999947</c:v>
                </c:pt>
                <c:pt idx="31">
                  <c:v>7.5999999999999961</c:v>
                </c:pt>
                <c:pt idx="32">
                  <c:v>7.199999999999994</c:v>
                </c:pt>
                <c:pt idx="33">
                  <c:v>6.7999999999999954</c:v>
                </c:pt>
                <c:pt idx="34">
                  <c:v>6.3999999999999932</c:v>
                </c:pt>
                <c:pt idx="35">
                  <c:v>5.9999999999999947</c:v>
                </c:pt>
                <c:pt idx="36">
                  <c:v>5.5999999999999925</c:v>
                </c:pt>
                <c:pt idx="37">
                  <c:v>5.199999999999994</c:v>
                </c:pt>
                <c:pt idx="38">
                  <c:v>4.7999999999999918</c:v>
                </c:pt>
                <c:pt idx="39">
                  <c:v>4.3999999999999915</c:v>
                </c:pt>
                <c:pt idx="40">
                  <c:v>3.9999999999999893</c:v>
                </c:pt>
                <c:pt idx="41">
                  <c:v>3.5999999999999908</c:v>
                </c:pt>
                <c:pt idx="42">
                  <c:v>3.1999999999999886</c:v>
                </c:pt>
                <c:pt idx="43">
                  <c:v>2.7999999999999901</c:v>
                </c:pt>
                <c:pt idx="44">
                  <c:v>2.3999999999999879</c:v>
                </c:pt>
                <c:pt idx="45">
                  <c:v>1.9999999999999893</c:v>
                </c:pt>
                <c:pt idx="46">
                  <c:v>1.5999999999999872</c:v>
                </c:pt>
                <c:pt idx="47">
                  <c:v>1.1999999999999886</c:v>
                </c:pt>
                <c:pt idx="48">
                  <c:v>0.79999999999999005</c:v>
                </c:pt>
                <c:pt idx="49">
                  <c:v>0.39999999999998792</c:v>
                </c:pt>
                <c:pt idx="50">
                  <c:v>-7.1054273576010019E-15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79593856"/>
        <c:axId val="79595392"/>
      </c:areaChart>
      <c:catAx>
        <c:axId val="79593856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9595392"/>
        <c:crosses val="autoZero"/>
        <c:lblAlgn val="ctr"/>
        <c:lblOffset val="100"/>
        <c:tickLblSkip val="10"/>
        <c:tickMarkSkip val="1"/>
      </c:catAx>
      <c:valAx>
        <c:axId val="79595392"/>
        <c:scaling>
          <c:orientation val="minMax"/>
          <c:min val="0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95938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445176947875536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'Cant.-Dist.B'!$O$12:$O$62</c:f>
              <c:numCache>
                <c:formatCode>General</c:formatCode>
                <c:ptCount val="5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82.943999999999946</c:v>
                </c:pt>
                <c:pt idx="27">
                  <c:v>76.175999999999959</c:v>
                </c:pt>
                <c:pt idx="28">
                  <c:v>69.695999999999941</c:v>
                </c:pt>
                <c:pt idx="29">
                  <c:v>63.503999999999948</c:v>
                </c:pt>
                <c:pt idx="30">
                  <c:v>57.599999999999923</c:v>
                </c:pt>
                <c:pt idx="31">
                  <c:v>51.983999999999945</c:v>
                </c:pt>
                <c:pt idx="32">
                  <c:v>46.655999999999928</c:v>
                </c:pt>
                <c:pt idx="33">
                  <c:v>41.615999999999957</c:v>
                </c:pt>
                <c:pt idx="34">
                  <c:v>36.863999999999933</c:v>
                </c:pt>
                <c:pt idx="35">
                  <c:v>32.399999999999949</c:v>
                </c:pt>
                <c:pt idx="36">
                  <c:v>28.223999999999904</c:v>
                </c:pt>
                <c:pt idx="37">
                  <c:v>24.335999999999942</c:v>
                </c:pt>
                <c:pt idx="38">
                  <c:v>20.735999999999933</c:v>
                </c:pt>
                <c:pt idx="39">
                  <c:v>17.42399999999995</c:v>
                </c:pt>
                <c:pt idx="40">
                  <c:v>14.399999999999949</c:v>
                </c:pt>
                <c:pt idx="41">
                  <c:v>11.663999999999959</c:v>
                </c:pt>
                <c:pt idx="42">
                  <c:v>9.2159999999999513</c:v>
                </c:pt>
                <c:pt idx="43">
                  <c:v>7.0559999999999832</c:v>
                </c:pt>
                <c:pt idx="44">
                  <c:v>5.1839999999999407</c:v>
                </c:pt>
                <c:pt idx="45">
                  <c:v>3.5999999999999943</c:v>
                </c:pt>
                <c:pt idx="46">
                  <c:v>2.3039999999999736</c:v>
                </c:pt>
                <c:pt idx="47">
                  <c:v>1.2959999999999923</c:v>
                </c:pt>
                <c:pt idx="48">
                  <c:v>0.57600000000002183</c:v>
                </c:pt>
                <c:pt idx="49">
                  <c:v>0.14399999999997704</c:v>
                </c:pt>
                <c:pt idx="50">
                  <c:v>0</c:v>
                </c:pt>
              </c:numCache>
            </c:numRef>
          </c:val>
        </c:ser>
        <c:axId val="78316288"/>
        <c:axId val="78317824"/>
      </c:areaChart>
      <c:catAx>
        <c:axId val="7831628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78317824"/>
        <c:crosses val="autoZero"/>
        <c:lblAlgn val="ctr"/>
        <c:lblOffset val="100"/>
        <c:tickLblSkip val="10"/>
        <c:tickMarkSkip val="1"/>
      </c:catAx>
      <c:valAx>
        <c:axId val="7831782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83162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0746268656716435E-2"/>
          <c:y val="7.3446732911441354E-2"/>
          <c:w val="0.91044776119402959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'Cant.-Dist.B'!$L$12:$L$62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'Cant.-Dist.B'!$Q$12:$Q$62</c:f>
              <c:numCache>
                <c:formatCode>General</c:formatCode>
                <c:ptCount val="51"/>
                <c:pt idx="0">
                  <c:v>-2160</c:v>
                </c:pt>
                <c:pt idx="1">
                  <c:v>-2095.1999999999998</c:v>
                </c:pt>
                <c:pt idx="2">
                  <c:v>-2030.4</c:v>
                </c:pt>
                <c:pt idx="3">
                  <c:v>-1965.6</c:v>
                </c:pt>
                <c:pt idx="4">
                  <c:v>-1900.8</c:v>
                </c:pt>
                <c:pt idx="5">
                  <c:v>-1836</c:v>
                </c:pt>
                <c:pt idx="6">
                  <c:v>-1771.2</c:v>
                </c:pt>
                <c:pt idx="7">
                  <c:v>-1706.3999999999999</c:v>
                </c:pt>
                <c:pt idx="8">
                  <c:v>-1641.6</c:v>
                </c:pt>
                <c:pt idx="9">
                  <c:v>-1576.8000000000002</c:v>
                </c:pt>
                <c:pt idx="10">
                  <c:v>-1512</c:v>
                </c:pt>
                <c:pt idx="11">
                  <c:v>-1447.2</c:v>
                </c:pt>
                <c:pt idx="12">
                  <c:v>-1382.4</c:v>
                </c:pt>
                <c:pt idx="13">
                  <c:v>-1317.6000000000004</c:v>
                </c:pt>
                <c:pt idx="14">
                  <c:v>-1252.8000000000002</c:v>
                </c:pt>
                <c:pt idx="15">
                  <c:v>-1188</c:v>
                </c:pt>
                <c:pt idx="16">
                  <c:v>-1123.2</c:v>
                </c:pt>
                <c:pt idx="17">
                  <c:v>-1058.4000000000001</c:v>
                </c:pt>
                <c:pt idx="18">
                  <c:v>-993.59999999999991</c:v>
                </c:pt>
                <c:pt idx="19">
                  <c:v>-928.8</c:v>
                </c:pt>
                <c:pt idx="20">
                  <c:v>-863.99999999999977</c:v>
                </c:pt>
                <c:pt idx="21">
                  <c:v>-799.19999999999982</c:v>
                </c:pt>
                <c:pt idx="22">
                  <c:v>-734.39999999999964</c:v>
                </c:pt>
                <c:pt idx="23">
                  <c:v>-669.59999999999945</c:v>
                </c:pt>
                <c:pt idx="24">
                  <c:v>-604.7999999999995</c:v>
                </c:pt>
                <c:pt idx="25">
                  <c:v>-539.99999999999977</c:v>
                </c:pt>
                <c:pt idx="26">
                  <c:v>-477.75743999999929</c:v>
                </c:pt>
                <c:pt idx="27">
                  <c:v>-420.49151999999958</c:v>
                </c:pt>
                <c:pt idx="28">
                  <c:v>-367.99487999999934</c:v>
                </c:pt>
                <c:pt idx="29">
                  <c:v>-320.06015999999966</c:v>
                </c:pt>
                <c:pt idx="30">
                  <c:v>-276.47999999999956</c:v>
                </c:pt>
                <c:pt idx="31">
                  <c:v>-237.04703999999964</c:v>
                </c:pt>
                <c:pt idx="32">
                  <c:v>-201.55391999999955</c:v>
                </c:pt>
                <c:pt idx="33">
                  <c:v>-169.79327999999927</c:v>
                </c:pt>
                <c:pt idx="34">
                  <c:v>-141.55775999999909</c:v>
                </c:pt>
                <c:pt idx="35">
                  <c:v>-116.63999999999953</c:v>
                </c:pt>
                <c:pt idx="36">
                  <c:v>-94.832639999999572</c:v>
                </c:pt>
                <c:pt idx="37">
                  <c:v>-75.928319999999758</c:v>
                </c:pt>
                <c:pt idx="38">
                  <c:v>-59.719679999999698</c:v>
                </c:pt>
                <c:pt idx="39">
                  <c:v>-45.999359999999797</c:v>
                </c:pt>
                <c:pt idx="40">
                  <c:v>-34.559999999999832</c:v>
                </c:pt>
                <c:pt idx="41">
                  <c:v>-25.194240000000036</c:v>
                </c:pt>
                <c:pt idx="42">
                  <c:v>-17.694720000000189</c:v>
                </c:pt>
                <c:pt idx="43">
                  <c:v>-11.854079999999612</c:v>
                </c:pt>
                <c:pt idx="44">
                  <c:v>-7.4649600000000191</c:v>
                </c:pt>
                <c:pt idx="45">
                  <c:v>-4.3199999999992542</c:v>
                </c:pt>
                <c:pt idx="46">
                  <c:v>-2.2118399999999383</c:v>
                </c:pt>
                <c:pt idx="47">
                  <c:v>-0.93311999999923501</c:v>
                </c:pt>
                <c:pt idx="48">
                  <c:v>-0.27647999999931017</c:v>
                </c:pt>
                <c:pt idx="49">
                  <c:v>-3.4559999999373758E-2</c:v>
                </c:pt>
                <c:pt idx="50">
                  <c:v>-4.5474735088646412E-13</c:v>
                </c:pt>
              </c:numCache>
            </c:numRef>
          </c:val>
        </c:ser>
        <c:axId val="78357632"/>
        <c:axId val="78359168"/>
      </c:areaChart>
      <c:catAx>
        <c:axId val="7835763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8359168"/>
        <c:crosses val="autoZero"/>
        <c:lblAlgn val="ctr"/>
        <c:lblOffset val="100"/>
        <c:tickLblSkip val="10"/>
        <c:tickMarkSkip val="1"/>
      </c:catAx>
      <c:valAx>
        <c:axId val="7835916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83576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379903647625615E-2"/>
          <c:y val="0.20388446167922145"/>
          <c:w val="0.88724164161263452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'Cant.-Dist.B'!$L$12:$L$62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'Cant.-Dist.B'!$N$12:$N$62</c:f>
              <c:numCache>
                <c:formatCode>General</c:formatCode>
                <c:ptCount val="51"/>
                <c:pt idx="0">
                  <c:v>0</c:v>
                </c:pt>
                <c:pt idx="1">
                  <c:v>-6.2812362777293727E-7</c:v>
                </c:pt>
                <c:pt idx="2">
                  <c:v>-2.4871157786564786E-6</c:v>
                </c:pt>
                <c:pt idx="3">
                  <c:v>-5.5389083539977207E-6</c:v>
                </c:pt>
                <c:pt idx="4">
                  <c:v>-9.7454332551437541E-6</c:v>
                </c:pt>
                <c:pt idx="5">
                  <c:v>-1.5068622383441676E-5</c:v>
                </c:pt>
                <c:pt idx="6">
                  <c:v>-2.1470407640238587E-5</c:v>
                </c:pt>
                <c:pt idx="7">
                  <c:v>-2.8912720926881574E-5</c:v>
                </c:pt>
                <c:pt idx="8">
                  <c:v>-3.735749414471772E-5</c:v>
                </c:pt>
                <c:pt idx="9">
                  <c:v>-4.6766659195094133E-5</c:v>
                </c:pt>
                <c:pt idx="10">
                  <c:v>-5.7102147979357924E-5</c:v>
                </c:pt>
                <c:pt idx="11">
                  <c:v>-6.8325892398856167E-5</c:v>
                </c:pt>
                <c:pt idx="12">
                  <c:v>-8.0399824354935944E-5</c:v>
                </c:pt>
                <c:pt idx="13">
                  <c:v>-9.3285875748944376E-5</c:v>
                </c:pt>
                <c:pt idx="14">
                  <c:v>-1.0694597848222855E-4</c:v>
                </c:pt>
                <c:pt idx="15">
                  <c:v>-1.2134206445613558E-4</c:v>
                </c:pt>
                <c:pt idx="16">
                  <c:v>-1.3643606557201256E-4</c:v>
                </c:pt>
                <c:pt idx="17">
                  <c:v>-1.5218991373120653E-4</c:v>
                </c:pt>
                <c:pt idx="18">
                  <c:v>-1.6856554083506466E-4</c:v>
                </c:pt>
                <c:pt idx="19">
                  <c:v>-1.8552487878493394E-4</c:v>
                </c:pt>
                <c:pt idx="20">
                  <c:v>-2.0302985948216163E-4</c:v>
                </c:pt>
                <c:pt idx="21">
                  <c:v>-2.2104241482809463E-4</c:v>
                </c:pt>
                <c:pt idx="22">
                  <c:v>-2.3952447672408015E-4</c:v>
                </c:pt>
                <c:pt idx="23">
                  <c:v>-2.5843797707146538E-4</c:v>
                </c:pt>
                <c:pt idx="24">
                  <c:v>-2.7774484777159713E-4</c:v>
                </c:pt>
                <c:pt idx="25">
                  <c:v>-2.9740702072582261E-4</c:v>
                </c:pt>
                <c:pt idx="26">
                  <c:v>-3.1738655371400213E-4</c:v>
                </c:pt>
                <c:pt idx="27">
                  <c:v>-3.3764699881576093E-4</c:v>
                </c:pt>
                <c:pt idx="28">
                  <c:v>-3.5815470383189008E-4</c:v>
                </c:pt>
                <c:pt idx="29">
                  <c:v>-3.7887881837524135E-4</c:v>
                </c:pt>
                <c:pt idx="30">
                  <c:v>-3.9979117205281176E-4</c:v>
                </c:pt>
                <c:pt idx="31">
                  <c:v>-4.2086615264782661E-4</c:v>
                </c:pt>
                <c:pt idx="32">
                  <c:v>-4.4208058430182738E-4</c:v>
                </c:pt>
                <c:pt idx="33">
                  <c:v>-4.6341360569675195E-4</c:v>
                </c:pt>
                <c:pt idx="34">
                  <c:v>-4.8484654823702006E-4</c:v>
                </c:pt>
                <c:pt idx="35">
                  <c:v>-5.0636281423161985E-4</c:v>
                </c:pt>
                <c:pt idx="36">
                  <c:v>-5.2794775507618947E-4</c:v>
                </c:pt>
                <c:pt idx="37">
                  <c:v>-5.4958854943510261E-4</c:v>
                </c:pt>
                <c:pt idx="38">
                  <c:v>-5.712740814235531E-4</c:v>
                </c:pt>
                <c:pt idx="39">
                  <c:v>-5.9299481878963734E-4</c:v>
                </c:pt>
                <c:pt idx="40">
                  <c:v>-6.1474269109644151E-4</c:v>
                </c:pt>
                <c:pt idx="41">
                  <c:v>-6.3651096790412367E-4</c:v>
                </c:pt>
                <c:pt idx="42">
                  <c:v>-6.5829413695199848E-4</c:v>
                </c:pt>
                <c:pt idx="43">
                  <c:v>-6.8008778234062328E-4</c:v>
                </c:pt>
                <c:pt idx="44">
                  <c:v>-7.0188846271387927E-4</c:v>
                </c:pt>
                <c:pt idx="45">
                  <c:v>-7.2369358944105659E-4</c:v>
                </c:pt>
                <c:pt idx="46">
                  <c:v>-7.4550130479894301E-4</c:v>
                </c:pt>
                <c:pt idx="47">
                  <c:v>-7.6731036015390171E-4</c:v>
                </c:pt>
                <c:pt idx="48">
                  <c:v>-7.8911999414396021E-4</c:v>
                </c:pt>
                <c:pt idx="49">
                  <c:v>-8.1092981086089292E-4</c:v>
                </c:pt>
                <c:pt idx="50">
                  <c:v>-8.3273965803230343E-4</c:v>
                </c:pt>
              </c:numCache>
            </c:numRef>
          </c:val>
          <c:smooth val="1"/>
        </c:ser>
        <c:marker val="1"/>
        <c:axId val="78378496"/>
        <c:axId val="78380032"/>
      </c:lineChart>
      <c:catAx>
        <c:axId val="78378496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78380032"/>
        <c:crosses val="autoZero"/>
        <c:lblAlgn val="ctr"/>
        <c:lblOffset val="100"/>
        <c:tickLblSkip val="10"/>
        <c:tickMarkSkip val="1"/>
      </c:catAx>
      <c:valAx>
        <c:axId val="7838003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83784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000125000325515E-2"/>
          <c:y val="8.4269894086568667E-2"/>
          <c:w val="0.92000239583957255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 1+2'!$L$12:$L$62</c:f>
              <c:numCache>
                <c:formatCode>_(* #,##0.00_);_(* \(#,##0.00\);_(* "-"??_);_(@_)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 1+2'!$O$12:$O$62</c:f>
              <c:numCache>
                <c:formatCode>_(* #,##0.00_);_(* \(#,##0.00\);_(* "-"??_);_(@_)</c:formatCode>
                <c:ptCount val="51"/>
                <c:pt idx="0">
                  <c:v>846</c:v>
                </c:pt>
                <c:pt idx="1">
                  <c:v>846</c:v>
                </c:pt>
                <c:pt idx="2">
                  <c:v>846</c:v>
                </c:pt>
                <c:pt idx="3">
                  <c:v>846</c:v>
                </c:pt>
                <c:pt idx="4">
                  <c:v>846</c:v>
                </c:pt>
                <c:pt idx="5">
                  <c:v>846</c:v>
                </c:pt>
                <c:pt idx="6">
                  <c:v>846</c:v>
                </c:pt>
                <c:pt idx="7">
                  <c:v>846</c:v>
                </c:pt>
                <c:pt idx="8">
                  <c:v>846</c:v>
                </c:pt>
                <c:pt idx="9">
                  <c:v>846</c:v>
                </c:pt>
                <c:pt idx="10">
                  <c:v>846</c:v>
                </c:pt>
                <c:pt idx="11">
                  <c:v>846</c:v>
                </c:pt>
                <c:pt idx="12">
                  <c:v>846</c:v>
                </c:pt>
                <c:pt idx="13">
                  <c:v>846</c:v>
                </c:pt>
                <c:pt idx="14">
                  <c:v>846</c:v>
                </c:pt>
                <c:pt idx="15">
                  <c:v>846</c:v>
                </c:pt>
                <c:pt idx="16">
                  <c:v>846</c:v>
                </c:pt>
                <c:pt idx="17">
                  <c:v>846</c:v>
                </c:pt>
                <c:pt idx="18">
                  <c:v>846</c:v>
                </c:pt>
                <c:pt idx="19">
                  <c:v>846</c:v>
                </c:pt>
                <c:pt idx="20">
                  <c:v>846</c:v>
                </c:pt>
                <c:pt idx="21">
                  <c:v>846</c:v>
                </c:pt>
                <c:pt idx="22">
                  <c:v>846</c:v>
                </c:pt>
                <c:pt idx="23">
                  <c:v>846</c:v>
                </c:pt>
                <c:pt idx="24">
                  <c:v>846</c:v>
                </c:pt>
                <c:pt idx="25">
                  <c:v>846</c:v>
                </c:pt>
                <c:pt idx="26">
                  <c:v>846</c:v>
                </c:pt>
                <c:pt idx="27">
                  <c:v>846</c:v>
                </c:pt>
                <c:pt idx="28">
                  <c:v>763.2799999999994</c:v>
                </c:pt>
                <c:pt idx="29">
                  <c:v>673.03999999999917</c:v>
                </c:pt>
                <c:pt idx="30">
                  <c:v>582.79999999999893</c:v>
                </c:pt>
                <c:pt idx="31">
                  <c:v>492.55999999999926</c:v>
                </c:pt>
                <c:pt idx="32">
                  <c:v>402.31999999999903</c:v>
                </c:pt>
                <c:pt idx="33">
                  <c:v>312.07999999999879</c:v>
                </c:pt>
                <c:pt idx="34">
                  <c:v>221.83999999999855</c:v>
                </c:pt>
                <c:pt idx="35">
                  <c:v>131.59999999999889</c:v>
                </c:pt>
                <c:pt idx="36">
                  <c:v>41.359999999998649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0876672"/>
        <c:axId val="80878208"/>
      </c:areaChart>
      <c:catAx>
        <c:axId val="80876672"/>
        <c:scaling>
          <c:orientation val="minMax"/>
        </c:scaling>
        <c:axPos val="b"/>
        <c:numFmt formatCode="_(* #,##0.00_);_(* \(#,##0.00\);_(* &quot;-&quot;??_);_(@_)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80878208"/>
        <c:crosses val="autoZero"/>
        <c:lblAlgn val="ctr"/>
        <c:lblOffset val="100"/>
        <c:tickLblSkip val="10"/>
        <c:tickMarkSkip val="1"/>
      </c:catAx>
      <c:valAx>
        <c:axId val="80878208"/>
        <c:scaling>
          <c:orientation val="minMax"/>
        </c:scaling>
        <c:axPos val="l"/>
        <c:numFmt formatCode="_(* #,##0.00_);_(* \(#,##0.00\);_(* &quot;-&quot;??_);_(@_)" sourceLinked="1"/>
        <c:majorTickMark val="none"/>
        <c:tickLblPos val="none"/>
        <c:spPr>
          <a:ln w="9525">
            <a:noFill/>
          </a:ln>
        </c:spPr>
        <c:crossAx val="808766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57435826276403E-2"/>
          <c:y val="7.3446732911441354E-2"/>
          <c:w val="0.9168912806992513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 1+2'!$L$12:$L$62</c:f>
              <c:numCache>
                <c:formatCode>_(* #,##0.00_);_(* \(#,##0.00\);_(* "-"??_);_(@_)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 1+2'!$Q$12:$Q$62</c:f>
              <c:numCache>
                <c:formatCode>_(* #,##0.00_);_(* \(#,##0.00\);_(* "-"??_);_(@_)</c:formatCode>
                <c:ptCount val="51"/>
                <c:pt idx="0">
                  <c:v>-593060</c:v>
                </c:pt>
                <c:pt idx="1">
                  <c:v>-576816.80000000005</c:v>
                </c:pt>
                <c:pt idx="2">
                  <c:v>-560573.6</c:v>
                </c:pt>
                <c:pt idx="3">
                  <c:v>-544330.4</c:v>
                </c:pt>
                <c:pt idx="4">
                  <c:v>-528087.19999999995</c:v>
                </c:pt>
                <c:pt idx="5">
                  <c:v>-511844</c:v>
                </c:pt>
                <c:pt idx="6">
                  <c:v>-495600.8</c:v>
                </c:pt>
                <c:pt idx="7">
                  <c:v>-479357.6</c:v>
                </c:pt>
                <c:pt idx="8">
                  <c:v>-463114.4</c:v>
                </c:pt>
                <c:pt idx="9">
                  <c:v>-446871.2</c:v>
                </c:pt>
                <c:pt idx="10">
                  <c:v>-430628</c:v>
                </c:pt>
                <c:pt idx="11">
                  <c:v>-414384.80000000005</c:v>
                </c:pt>
                <c:pt idx="12">
                  <c:v>-398141.6</c:v>
                </c:pt>
                <c:pt idx="13">
                  <c:v>-381898.4</c:v>
                </c:pt>
                <c:pt idx="14">
                  <c:v>-365655.20000000007</c:v>
                </c:pt>
                <c:pt idx="15">
                  <c:v>-349412</c:v>
                </c:pt>
                <c:pt idx="16">
                  <c:v>-333168.80000000005</c:v>
                </c:pt>
                <c:pt idx="17">
                  <c:v>-316925.59999999998</c:v>
                </c:pt>
                <c:pt idx="18">
                  <c:v>-300682.39999999997</c:v>
                </c:pt>
                <c:pt idx="19">
                  <c:v>-284439.19999999995</c:v>
                </c:pt>
                <c:pt idx="20">
                  <c:v>-268195.99999999994</c:v>
                </c:pt>
                <c:pt idx="21">
                  <c:v>-251952.79999999993</c:v>
                </c:pt>
                <c:pt idx="22">
                  <c:v>-235709.59999999992</c:v>
                </c:pt>
                <c:pt idx="23">
                  <c:v>-219466.39999999991</c:v>
                </c:pt>
                <c:pt idx="24">
                  <c:v>-203223.1999999999</c:v>
                </c:pt>
                <c:pt idx="25">
                  <c:v>-186979.99999999988</c:v>
                </c:pt>
                <c:pt idx="26">
                  <c:v>-170736.79999999993</c:v>
                </c:pt>
                <c:pt idx="27">
                  <c:v>-154493.59999999992</c:v>
                </c:pt>
                <c:pt idx="28">
                  <c:v>-138978.33599999992</c:v>
                </c:pt>
                <c:pt idx="29">
                  <c:v>-125189.66399999987</c:v>
                </c:pt>
                <c:pt idx="30">
                  <c:v>-113133.59999999989</c:v>
                </c:pt>
                <c:pt idx="31">
                  <c:v>-102810.14399999993</c:v>
                </c:pt>
                <c:pt idx="32">
                  <c:v>-17219.295999999893</c:v>
                </c:pt>
                <c:pt idx="33">
                  <c:v>-10361.055999999928</c:v>
                </c:pt>
                <c:pt idx="34">
                  <c:v>-5235.4239999999118</c:v>
                </c:pt>
                <c:pt idx="35">
                  <c:v>-1842.3999999999287</c:v>
                </c:pt>
                <c:pt idx="36">
                  <c:v>-181.9840000000404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axId val="80905728"/>
        <c:axId val="80907264"/>
      </c:areaChart>
      <c:catAx>
        <c:axId val="80905728"/>
        <c:scaling>
          <c:orientation val="minMax"/>
        </c:scaling>
        <c:axPos val="b"/>
        <c:numFmt formatCode="_(* #,##0.00_);_(* \(#,##0.00\);_(* &quot;-&quot;??_);_(@_)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0907264"/>
        <c:crosses val="autoZero"/>
        <c:lblAlgn val="ctr"/>
        <c:lblOffset val="100"/>
        <c:tickLblSkip val="10"/>
        <c:tickMarkSkip val="1"/>
      </c:catAx>
      <c:valAx>
        <c:axId val="80907264"/>
        <c:scaling>
          <c:orientation val="minMax"/>
        </c:scaling>
        <c:axPos val="l"/>
        <c:numFmt formatCode="_(* #,##0.00_);_(* \(#,##0.00\);_(* &quot;-&quot;??_);_(@_)" sourceLinked="1"/>
        <c:majorTickMark val="none"/>
        <c:tickLblPos val="none"/>
        <c:spPr>
          <a:ln w="9525">
            <a:noFill/>
          </a:ln>
        </c:spPr>
        <c:crossAx val="80905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333472222583923E-2"/>
          <c:y val="0.20388446167922145"/>
          <c:w val="0.89600233333940971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'Cant 1+2'!$L$12:$L$62</c:f>
              <c:numCache>
                <c:formatCode>_(* #,##0.00_);_(* \(#,##0.00\);_(* "-"??_);_(@_)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 1+2'!$N$12:$N$62</c:f>
              <c:numCache>
                <c:formatCode>General</c:formatCode>
                <c:ptCount val="51"/>
                <c:pt idx="0">
                  <c:v>0</c:v>
                </c:pt>
                <c:pt idx="1">
                  <c:v>-0.12274650575443469</c:v>
                </c:pt>
                <c:pt idx="2">
                  <c:v>-0.48646221696349912</c:v>
                </c:pt>
                <c:pt idx="3">
                  <c:v>-1.0843614245458337</c:v>
                </c:pt>
                <c:pt idx="4">
                  <c:v>-1.9096584194200799</c:v>
                </c:pt>
                <c:pt idx="5">
                  <c:v>-2.9555674925048776</c:v>
                </c:pt>
                <c:pt idx="6">
                  <c:v>-4.2153029347188689</c:v>
                </c:pt>
                <c:pt idx="7">
                  <c:v>-5.6820790369806913</c:v>
                </c:pt>
                <c:pt idx="8">
                  <c:v>-7.3491100902089883</c:v>
                </c:pt>
                <c:pt idx="9">
                  <c:v>-9.2096103853223958</c:v>
                </c:pt>
                <c:pt idx="10">
                  <c:v>-11.256794213239562</c:v>
                </c:pt>
                <c:pt idx="11">
                  <c:v>-13.483875864879126</c:v>
                </c:pt>
                <c:pt idx="12">
                  <c:v>-15.88406963115972</c:v>
                </c:pt>
                <c:pt idx="13">
                  <c:v>-18.450589802999996</c:v>
                </c:pt>
                <c:pt idx="14">
                  <c:v>-21.176650671318583</c:v>
                </c:pt>
                <c:pt idx="15">
                  <c:v>-24.055466527034142</c:v>
                </c:pt>
                <c:pt idx="16">
                  <c:v>-27.08025166106529</c:v>
                </c:pt>
                <c:pt idx="17">
                  <c:v>-30.244220364330687</c:v>
                </c:pt>
                <c:pt idx="18">
                  <c:v>-33.540586927748954</c:v>
                </c:pt>
                <c:pt idx="19">
                  <c:v>-36.962565642238744</c:v>
                </c:pt>
                <c:pt idx="20">
                  <c:v>-40.503370798718699</c:v>
                </c:pt>
                <c:pt idx="21">
                  <c:v>-44.156216688107463</c:v>
                </c:pt>
                <c:pt idx="22">
                  <c:v>-47.914317601323653</c:v>
                </c:pt>
                <c:pt idx="23">
                  <c:v>-51.77088782928594</c:v>
                </c:pt>
                <c:pt idx="24">
                  <c:v>-55.719141662912946</c:v>
                </c:pt>
                <c:pt idx="25">
                  <c:v>-59.75229339312331</c:v>
                </c:pt>
                <c:pt idx="26">
                  <c:v>-63.863557310835681</c:v>
                </c:pt>
                <c:pt idx="27">
                  <c:v>-68.046147706968711</c:v>
                </c:pt>
                <c:pt idx="28">
                  <c:v>-72.293300166501069</c:v>
                </c:pt>
                <c:pt idx="29">
                  <c:v>-76.59857210254691</c:v>
                </c:pt>
                <c:pt idx="30">
                  <c:v>-80.956203203518186</c:v>
                </c:pt>
                <c:pt idx="31">
                  <c:v>-85.361156965341209</c:v>
                </c:pt>
                <c:pt idx="32">
                  <c:v>-89.808276022521582</c:v>
                </c:pt>
                <c:pt idx="33">
                  <c:v>-94.27220551971773</c:v>
                </c:pt>
                <c:pt idx="34">
                  <c:v>-98.740523737092872</c:v>
                </c:pt>
                <c:pt idx="35">
                  <c:v>-103.21108940644797</c:v>
                </c:pt>
                <c:pt idx="36">
                  <c:v>-107.68248506855281</c:v>
                </c:pt>
                <c:pt idx="37">
                  <c:v>-112.15401447692761</c:v>
                </c:pt>
                <c:pt idx="38">
                  <c:v>-116.62554521618117</c:v>
                </c:pt>
                <c:pt idx="39">
                  <c:v>-121.09707595543473</c:v>
                </c:pt>
                <c:pt idx="40">
                  <c:v>-125.5686066946883</c:v>
                </c:pt>
                <c:pt idx="41">
                  <c:v>-130.04013743394185</c:v>
                </c:pt>
                <c:pt idx="42">
                  <c:v>-134.5116681731954</c:v>
                </c:pt>
                <c:pt idx="43">
                  <c:v>-138.98319891244898</c:v>
                </c:pt>
                <c:pt idx="44">
                  <c:v>-143.45472965170254</c:v>
                </c:pt>
                <c:pt idx="45">
                  <c:v>-147.92626039095609</c:v>
                </c:pt>
                <c:pt idx="46">
                  <c:v>-152.3977911302097</c:v>
                </c:pt>
                <c:pt idx="47">
                  <c:v>-156.86932186946322</c:v>
                </c:pt>
                <c:pt idx="48">
                  <c:v>-161.34085260871677</c:v>
                </c:pt>
                <c:pt idx="49">
                  <c:v>-165.81238334797038</c:v>
                </c:pt>
                <c:pt idx="50">
                  <c:v>-170.28391408722391</c:v>
                </c:pt>
              </c:numCache>
            </c:numRef>
          </c:val>
          <c:smooth val="1"/>
        </c:ser>
        <c:marker val="1"/>
        <c:axId val="80934784"/>
        <c:axId val="80936320"/>
      </c:lineChart>
      <c:catAx>
        <c:axId val="80934784"/>
        <c:scaling>
          <c:orientation val="minMax"/>
        </c:scaling>
        <c:axPos val="b"/>
        <c:numFmt formatCode="_(* #,##0.00_);_(* \(#,##0.00\);_(* &quot;-&quot;??_);_(@_)" sourceLinked="1"/>
        <c:majorTickMark val="none"/>
        <c:tickLblPos val="none"/>
        <c:spPr>
          <a:ln w="9525">
            <a:noFill/>
          </a:ln>
        </c:spPr>
        <c:crossAx val="80936320"/>
        <c:crosses val="autoZero"/>
        <c:lblAlgn val="ctr"/>
        <c:lblOffset val="100"/>
        <c:tickLblSkip val="10"/>
        <c:tickMarkSkip val="1"/>
      </c:catAx>
      <c:valAx>
        <c:axId val="8093632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809347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47266997500661E-2"/>
          <c:y val="0.20388446167922145"/>
          <c:w val="0.88427427826275939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'Simple - Conc. F'!$L$12:$L$62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Conc. F'!$N$12:$N$62</c:f>
              <c:numCache>
                <c:formatCode>General</c:formatCode>
                <c:ptCount val="51"/>
                <c:pt idx="0">
                  <c:v>0</c:v>
                </c:pt>
                <c:pt idx="1">
                  <c:v>-1.5654604782664688E-6</c:v>
                </c:pt>
                <c:pt idx="2">
                  <c:v>-3.124153294550199E-6</c:v>
                </c:pt>
                <c:pt idx="3">
                  <c:v>-4.6693107868684522E-6</c:v>
                </c:pt>
                <c:pt idx="4">
                  <c:v>-6.1941652932384882E-6</c:v>
                </c:pt>
                <c:pt idx="5">
                  <c:v>-7.6919491516775705E-6</c:v>
                </c:pt>
                <c:pt idx="6">
                  <c:v>-9.155894700202959E-6</c:v>
                </c:pt>
                <c:pt idx="7">
                  <c:v>-1.0579234276831916E-5</c:v>
                </c:pt>
                <c:pt idx="8">
                  <c:v>-1.1955200219581698E-5</c:v>
                </c:pt>
                <c:pt idx="9">
                  <c:v>-1.3277024866469574E-5</c:v>
                </c:pt>
                <c:pt idx="10">
                  <c:v>-1.4537940555512799E-5</c:v>
                </c:pt>
                <c:pt idx="11">
                  <c:v>-1.5731179624728637E-5</c:v>
                </c:pt>
                <c:pt idx="12">
                  <c:v>-1.6849974412134352E-5</c:v>
                </c:pt>
                <c:pt idx="13">
                  <c:v>-1.7887557255747199E-5</c:v>
                </c:pt>
                <c:pt idx="14">
                  <c:v>-1.8837160493584446E-5</c:v>
                </c:pt>
                <c:pt idx="15">
                  <c:v>-1.9692016463663353E-5</c:v>
                </c:pt>
                <c:pt idx="16">
                  <c:v>-2.0445357504001173E-5</c:v>
                </c:pt>
                <c:pt idx="17">
                  <c:v>-2.1090478616152058E-5</c:v>
                </c:pt>
                <c:pt idx="18">
                  <c:v>-2.1624434613882767E-5</c:v>
                </c:pt>
                <c:pt idx="19">
                  <c:v>-2.2050108019889668E-5</c:v>
                </c:pt>
                <c:pt idx="20">
                  <c:v>-2.2370882665164098E-5</c:v>
                </c:pt>
                <c:pt idx="21">
                  <c:v>-2.2590142380697468E-5</c:v>
                </c:pt>
                <c:pt idx="22">
                  <c:v>-2.2711270997481101E-5</c:v>
                </c:pt>
                <c:pt idx="23">
                  <c:v>-2.2737652346506413E-5</c:v>
                </c:pt>
                <c:pt idx="24">
                  <c:v>-2.2672670258764739E-5</c:v>
                </c:pt>
                <c:pt idx="25">
                  <c:v>-2.2519708565247477E-5</c:v>
                </c:pt>
                <c:pt idx="26">
                  <c:v>-2.2282151096945978E-5</c:v>
                </c:pt>
                <c:pt idx="27">
                  <c:v>-2.1963381684851605E-5</c:v>
                </c:pt>
                <c:pt idx="28">
                  <c:v>-2.1566784159955736E-5</c:v>
                </c:pt>
                <c:pt idx="29">
                  <c:v>-2.1095742353249748E-5</c:v>
                </c:pt>
                <c:pt idx="30">
                  <c:v>-2.0553640095725005E-5</c:v>
                </c:pt>
                <c:pt idx="31">
                  <c:v>-1.994386121837287E-5</c:v>
                </c:pt>
                <c:pt idx="32">
                  <c:v>-1.9269789552184695E-5</c:v>
                </c:pt>
                <c:pt idx="33">
                  <c:v>-1.8534808928151889E-5</c:v>
                </c:pt>
                <c:pt idx="34">
                  <c:v>-1.7742303177265825E-5</c:v>
                </c:pt>
                <c:pt idx="35">
                  <c:v>-1.6895656130517831E-5</c:v>
                </c:pt>
                <c:pt idx="36">
                  <c:v>-1.5998251618899319E-5</c:v>
                </c:pt>
                <c:pt idx="37">
                  <c:v>-1.5053473473401619E-5</c:v>
                </c:pt>
                <c:pt idx="38">
                  <c:v>-1.4064705525016101E-5</c:v>
                </c:pt>
                <c:pt idx="39">
                  <c:v>-1.3035331604734164E-5</c:v>
                </c:pt>
                <c:pt idx="40">
                  <c:v>-1.1968735543547163E-5</c:v>
                </c:pt>
                <c:pt idx="41">
                  <c:v>-1.0868301172446484E-5</c:v>
                </c:pt>
                <c:pt idx="42">
                  <c:v>-9.7374123224234425E-6</c:v>
                </c:pt>
                <c:pt idx="43">
                  <c:v>-8.5794528244694906E-6</c:v>
                </c:pt>
                <c:pt idx="44">
                  <c:v>-7.3978065095759446E-6</c:v>
                </c:pt>
                <c:pt idx="45">
                  <c:v>-6.1958572087341345E-6</c:v>
                </c:pt>
                <c:pt idx="46">
                  <c:v>-4.9769887529355257E-6</c:v>
                </c:pt>
                <c:pt idx="47">
                  <c:v>-3.7445849731714345E-6</c:v>
                </c:pt>
                <c:pt idx="48">
                  <c:v>-2.5020297004332316E-6</c:v>
                </c:pt>
                <c:pt idx="49">
                  <c:v>-1.2527067657123146E-6</c:v>
                </c:pt>
                <c:pt idx="50">
                  <c:v>-2.7105054312137611E-20</c:v>
                </c:pt>
              </c:numCache>
            </c:numRef>
          </c:val>
          <c:smooth val="1"/>
        </c:ser>
        <c:marker val="1"/>
        <c:axId val="76497664"/>
        <c:axId val="76499200"/>
      </c:lineChart>
      <c:catAx>
        <c:axId val="76497664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76499200"/>
        <c:crosses val="autoZero"/>
        <c:lblAlgn val="ctr"/>
        <c:lblOffset val="100"/>
        <c:tickLblSkip val="10"/>
        <c:tickMarkSkip val="1"/>
      </c:catAx>
      <c:valAx>
        <c:axId val="7649920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64976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038009433929441E-2"/>
          <c:y val="0.21951219512195133"/>
          <c:w val="0.77768400744778698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'Cant 1+2'!$L$12:$L$62</c:f>
              <c:numCache>
                <c:formatCode>_(* #,##0.00_);_(* \(#,##0.00\);_(* "-"??_);_(@_)</c:formatCode>
                <c:ptCount val="51"/>
                <c:pt idx="0">
                  <c:v>0</c:v>
                </c:pt>
                <c:pt idx="1">
                  <c:v>19.2</c:v>
                </c:pt>
                <c:pt idx="2">
                  <c:v>38.4</c:v>
                </c:pt>
                <c:pt idx="3">
                  <c:v>57.599999999999994</c:v>
                </c:pt>
                <c:pt idx="4">
                  <c:v>76.8</c:v>
                </c:pt>
                <c:pt idx="5">
                  <c:v>96</c:v>
                </c:pt>
                <c:pt idx="6">
                  <c:v>115.2</c:v>
                </c:pt>
                <c:pt idx="7">
                  <c:v>134.4</c:v>
                </c:pt>
                <c:pt idx="8">
                  <c:v>153.6</c:v>
                </c:pt>
                <c:pt idx="9">
                  <c:v>172.79999999999998</c:v>
                </c:pt>
                <c:pt idx="10">
                  <c:v>191.99999999999997</c:v>
                </c:pt>
                <c:pt idx="11">
                  <c:v>211.2</c:v>
                </c:pt>
                <c:pt idx="12">
                  <c:v>230.39999999999998</c:v>
                </c:pt>
                <c:pt idx="13">
                  <c:v>249.59999999999997</c:v>
                </c:pt>
                <c:pt idx="14">
                  <c:v>268.79999999999995</c:v>
                </c:pt>
                <c:pt idx="15">
                  <c:v>288</c:v>
                </c:pt>
                <c:pt idx="16">
                  <c:v>307.2</c:v>
                </c:pt>
                <c:pt idx="17">
                  <c:v>326.40000000000003</c:v>
                </c:pt>
                <c:pt idx="18">
                  <c:v>345.6</c:v>
                </c:pt>
                <c:pt idx="19">
                  <c:v>364.80000000000007</c:v>
                </c:pt>
                <c:pt idx="20">
                  <c:v>384.00000000000006</c:v>
                </c:pt>
                <c:pt idx="21">
                  <c:v>403.2000000000001</c:v>
                </c:pt>
                <c:pt idx="22">
                  <c:v>422.40000000000009</c:v>
                </c:pt>
                <c:pt idx="23">
                  <c:v>441.60000000000014</c:v>
                </c:pt>
                <c:pt idx="24">
                  <c:v>460.80000000000013</c:v>
                </c:pt>
                <c:pt idx="25">
                  <c:v>480.00000000000011</c:v>
                </c:pt>
                <c:pt idx="26">
                  <c:v>499.2000000000001</c:v>
                </c:pt>
                <c:pt idx="27">
                  <c:v>518.40000000000009</c:v>
                </c:pt>
                <c:pt idx="28">
                  <c:v>537.60000000000014</c:v>
                </c:pt>
                <c:pt idx="29">
                  <c:v>556.80000000000018</c:v>
                </c:pt>
                <c:pt idx="30">
                  <c:v>576.00000000000023</c:v>
                </c:pt>
                <c:pt idx="31">
                  <c:v>595.20000000000016</c:v>
                </c:pt>
                <c:pt idx="32">
                  <c:v>614.4000000000002</c:v>
                </c:pt>
                <c:pt idx="33">
                  <c:v>633.60000000000025</c:v>
                </c:pt>
                <c:pt idx="34">
                  <c:v>652.8000000000003</c:v>
                </c:pt>
                <c:pt idx="35">
                  <c:v>672.00000000000023</c:v>
                </c:pt>
                <c:pt idx="36">
                  <c:v>691.20000000000027</c:v>
                </c:pt>
                <c:pt idx="37">
                  <c:v>710.40000000000032</c:v>
                </c:pt>
                <c:pt idx="38">
                  <c:v>729.60000000000036</c:v>
                </c:pt>
                <c:pt idx="39">
                  <c:v>748.8000000000003</c:v>
                </c:pt>
                <c:pt idx="40">
                  <c:v>768.00000000000034</c:v>
                </c:pt>
                <c:pt idx="41">
                  <c:v>787.20000000000039</c:v>
                </c:pt>
                <c:pt idx="42">
                  <c:v>806.40000000000043</c:v>
                </c:pt>
                <c:pt idx="43">
                  <c:v>825.60000000000036</c:v>
                </c:pt>
                <c:pt idx="44">
                  <c:v>844.80000000000041</c:v>
                </c:pt>
                <c:pt idx="45">
                  <c:v>864.00000000000045</c:v>
                </c:pt>
                <c:pt idx="46">
                  <c:v>883.2000000000005</c:v>
                </c:pt>
                <c:pt idx="47">
                  <c:v>902.40000000000043</c:v>
                </c:pt>
                <c:pt idx="48">
                  <c:v>921.60000000000048</c:v>
                </c:pt>
                <c:pt idx="49">
                  <c:v>940.80000000000052</c:v>
                </c:pt>
                <c:pt idx="50">
                  <c:v>960.00000000000045</c:v>
                </c:pt>
              </c:numCache>
            </c:numRef>
          </c:cat>
          <c:val>
            <c:numRef>
              <c:f>'Cant 1+2'!$M$12:$M$62</c:f>
              <c:numCache>
                <c:formatCode>_(* #,##0.00_);_(* \(#,##0.00\);_(* "-"??_);_(@_)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4.7</c:v>
                </c:pt>
                <c:pt idx="29">
                  <c:v>4.7</c:v>
                </c:pt>
                <c:pt idx="30">
                  <c:v>4.7</c:v>
                </c:pt>
                <c:pt idx="31">
                  <c:v>4.7</c:v>
                </c:pt>
                <c:pt idx="32">
                  <c:v>4.7</c:v>
                </c:pt>
                <c:pt idx="33">
                  <c:v>4.7</c:v>
                </c:pt>
                <c:pt idx="34">
                  <c:v>4.7</c:v>
                </c:pt>
                <c:pt idx="35">
                  <c:v>4.7</c:v>
                </c:pt>
                <c:pt idx="36">
                  <c:v>4.7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80245504"/>
        <c:axId val="80247040"/>
      </c:areaChart>
      <c:catAx>
        <c:axId val="8024550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0247040"/>
        <c:crosses val="autoZero"/>
        <c:lblAlgn val="ctr"/>
        <c:lblOffset val="100"/>
        <c:tickLblSkip val="10"/>
        <c:tickMarkSkip val="1"/>
      </c:catAx>
      <c:valAx>
        <c:axId val="80247040"/>
        <c:scaling>
          <c:orientation val="minMax"/>
          <c:min val="0"/>
        </c:scaling>
        <c:axPos val="l"/>
        <c:numFmt formatCode="_(* #,##0.00_);_(* \(#,##0.00\);_(* &quot;-&quot;??_);_(@_)" sourceLinked="1"/>
        <c:majorTickMark val="none"/>
        <c:tickLblPos val="none"/>
        <c:spPr>
          <a:ln w="9525">
            <a:noFill/>
          </a:ln>
        </c:spPr>
        <c:crossAx val="802455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000000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-Conc. M'!$S$12:$S$62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5000.00000000002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76914048"/>
        <c:axId val="76915840"/>
      </c:areaChart>
      <c:catAx>
        <c:axId val="76914048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6915840"/>
        <c:crosses val="autoZero"/>
        <c:lblAlgn val="ctr"/>
        <c:lblOffset val="100"/>
        <c:tickLblSkip val="10"/>
        <c:tickMarkSkip val="1"/>
      </c:catAx>
      <c:valAx>
        <c:axId val="7691584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6914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412540297750569E-2"/>
          <c:y val="8.4269894086568667E-2"/>
          <c:w val="0.9139479117615098"/>
          <c:h val="0.82584496204837332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-Conc. M'!$O$12:$O$62</c:f>
              <c:numCache>
                <c:formatCode>General</c:formatCode>
                <c:ptCount val="51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</c:numCache>
            </c:numRef>
          </c:val>
        </c:ser>
        <c:axId val="76931072"/>
        <c:axId val="76932608"/>
      </c:areaChart>
      <c:catAx>
        <c:axId val="76931072"/>
        <c:scaling>
          <c:orientation val="minMax"/>
        </c:scaling>
        <c:axPos val="b"/>
        <c:numFmt formatCode="General" sourceLinked="1"/>
        <c:maj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76932608"/>
        <c:crosses val="autoZero"/>
        <c:lblAlgn val="ctr"/>
        <c:lblOffset val="100"/>
        <c:tickLblSkip val="10"/>
        <c:tickMarkSkip val="1"/>
      </c:catAx>
      <c:valAx>
        <c:axId val="7693260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69310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731343283582075E-2"/>
          <c:y val="7.3446732911441354E-2"/>
          <c:w val="0.907462686567164"/>
          <c:h val="0.8587618001953139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-Conc. M'!$Q$12:$Q$62</c:f>
              <c:numCache>
                <c:formatCode>General</c:formatCode>
                <c:ptCount val="51"/>
                <c:pt idx="0">
                  <c:v>0</c:v>
                </c:pt>
                <c:pt idx="1">
                  <c:v>-72</c:v>
                </c:pt>
                <c:pt idx="2">
                  <c:v>-144</c:v>
                </c:pt>
                <c:pt idx="3">
                  <c:v>-216.00000000000003</c:v>
                </c:pt>
                <c:pt idx="4">
                  <c:v>-288</c:v>
                </c:pt>
                <c:pt idx="5">
                  <c:v>-360</c:v>
                </c:pt>
                <c:pt idx="6">
                  <c:v>-432.00000000000006</c:v>
                </c:pt>
                <c:pt idx="7">
                  <c:v>-504.00000000000011</c:v>
                </c:pt>
                <c:pt idx="8">
                  <c:v>-576</c:v>
                </c:pt>
                <c:pt idx="9">
                  <c:v>-648</c:v>
                </c:pt>
                <c:pt idx="10">
                  <c:v>-719.99999999999989</c:v>
                </c:pt>
                <c:pt idx="11">
                  <c:v>-791.99999999999989</c:v>
                </c:pt>
                <c:pt idx="12">
                  <c:v>-863.99999999999989</c:v>
                </c:pt>
                <c:pt idx="13">
                  <c:v>-935.99999999999977</c:v>
                </c:pt>
                <c:pt idx="14">
                  <c:v>-1007.9999999999998</c:v>
                </c:pt>
                <c:pt idx="15">
                  <c:v>-1079.9999999999998</c:v>
                </c:pt>
                <c:pt idx="16">
                  <c:v>-1152</c:v>
                </c:pt>
                <c:pt idx="17">
                  <c:v>-1224</c:v>
                </c:pt>
                <c:pt idx="18">
                  <c:v>-1296</c:v>
                </c:pt>
                <c:pt idx="19">
                  <c:v>-1368.0000000000002</c:v>
                </c:pt>
                <c:pt idx="20">
                  <c:v>-1440.0000000000002</c:v>
                </c:pt>
                <c:pt idx="21">
                  <c:v>-1512.0000000000002</c:v>
                </c:pt>
                <c:pt idx="22">
                  <c:v>-1584.0000000000005</c:v>
                </c:pt>
                <c:pt idx="23">
                  <c:v>-1656.0000000000007</c:v>
                </c:pt>
                <c:pt idx="24">
                  <c:v>-1728.0000000000005</c:v>
                </c:pt>
                <c:pt idx="25">
                  <c:v>1799.9999999999995</c:v>
                </c:pt>
                <c:pt idx="26">
                  <c:v>1727.9999999999995</c:v>
                </c:pt>
                <c:pt idx="27">
                  <c:v>1655.9999999999995</c:v>
                </c:pt>
                <c:pt idx="28">
                  <c:v>1583.9999999999991</c:v>
                </c:pt>
                <c:pt idx="29">
                  <c:v>1511.9999999999991</c:v>
                </c:pt>
                <c:pt idx="30">
                  <c:v>1439.9999999999991</c:v>
                </c:pt>
                <c:pt idx="31">
                  <c:v>1367.9999999999991</c:v>
                </c:pt>
                <c:pt idx="32">
                  <c:v>1295.9999999999991</c:v>
                </c:pt>
                <c:pt idx="33">
                  <c:v>1223.9999999999991</c:v>
                </c:pt>
                <c:pt idx="34">
                  <c:v>1151.9999999999986</c:v>
                </c:pt>
                <c:pt idx="35">
                  <c:v>1079.9999999999991</c:v>
                </c:pt>
                <c:pt idx="36">
                  <c:v>1007.9999999999986</c:v>
                </c:pt>
                <c:pt idx="37">
                  <c:v>935.99999999999864</c:v>
                </c:pt>
                <c:pt idx="38">
                  <c:v>863.99999999999864</c:v>
                </c:pt>
                <c:pt idx="39">
                  <c:v>791.99999999999864</c:v>
                </c:pt>
                <c:pt idx="40">
                  <c:v>719.99999999999818</c:v>
                </c:pt>
                <c:pt idx="41">
                  <c:v>647.99999999999864</c:v>
                </c:pt>
                <c:pt idx="42">
                  <c:v>575.99999999999818</c:v>
                </c:pt>
                <c:pt idx="43">
                  <c:v>503.99999999999818</c:v>
                </c:pt>
                <c:pt idx="44">
                  <c:v>431.99999999999818</c:v>
                </c:pt>
                <c:pt idx="45">
                  <c:v>359.99999999999818</c:v>
                </c:pt>
                <c:pt idx="46">
                  <c:v>287.99999999999818</c:v>
                </c:pt>
                <c:pt idx="47">
                  <c:v>215.99999999999818</c:v>
                </c:pt>
                <c:pt idx="48">
                  <c:v>143.99999999999818</c:v>
                </c:pt>
                <c:pt idx="49">
                  <c:v>71.999999999997726</c:v>
                </c:pt>
                <c:pt idx="50">
                  <c:v>-1.8189894035458565E-12</c:v>
                </c:pt>
              </c:numCache>
            </c:numRef>
          </c:val>
        </c:ser>
        <c:axId val="77259136"/>
        <c:axId val="77260672"/>
      </c:areaChart>
      <c:catAx>
        <c:axId val="77259136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7260672"/>
        <c:crosses val="autoZero"/>
        <c:lblAlgn val="ctr"/>
        <c:lblOffset val="100"/>
        <c:tickLblSkip val="10"/>
        <c:tickMarkSkip val="1"/>
      </c:catAx>
      <c:valAx>
        <c:axId val="7726067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2591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47266997500661E-2"/>
          <c:y val="0.20388446167922145"/>
          <c:w val="0.88427427826275939"/>
          <c:h val="0.61165338503766398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'Simple -Conc. M'!$L$12:$L$62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-Conc. M'!$N$12:$N$62</c:f>
              <c:numCache>
                <c:formatCode>General</c:formatCode>
                <c:ptCount val="51"/>
                <c:pt idx="0">
                  <c:v>0</c:v>
                </c:pt>
                <c:pt idx="1">
                  <c:v>4.3989802887801667E-6</c:v>
                </c:pt>
                <c:pt idx="2">
                  <c:v>8.7556626901682164E-6</c:v>
                </c:pt>
                <c:pt idx="3">
                  <c:v>1.3027749316772035E-5</c:v>
                </c:pt>
                <c:pt idx="4">
                  <c:v>1.7172942281199496E-5</c:v>
                </c:pt>
                <c:pt idx="5">
                  <c:v>2.1148943696058494E-5</c:v>
                </c:pt>
                <c:pt idx="6">
                  <c:v>2.4913455673956908E-5</c:v>
                </c:pt>
                <c:pt idx="7">
                  <c:v>2.8424180327502623E-5</c:v>
                </c:pt>
                <c:pt idx="8">
                  <c:v>3.163881976930351E-5</c:v>
                </c:pt>
                <c:pt idx="9">
                  <c:v>3.4515076111967461E-5</c:v>
                </c:pt>
                <c:pt idx="10">
                  <c:v>3.7010651468102357E-5</c:v>
                </c:pt>
                <c:pt idx="11">
                  <c:v>3.9083247950316093E-5</c:v>
                </c:pt>
                <c:pt idx="12">
                  <c:v>4.0690567671216544E-5</c:v>
                </c:pt>
                <c:pt idx="13">
                  <c:v>4.1790312743411583E-5</c:v>
                </c:pt>
                <c:pt idx="14">
                  <c:v>4.2340185279509106E-5</c:v>
                </c:pt>
                <c:pt idx="15">
                  <c:v>4.2297887392117001E-5</c:v>
                </c:pt>
                <c:pt idx="16">
                  <c:v>4.1621121193843122E-5</c:v>
                </c:pt>
                <c:pt idx="17">
                  <c:v>4.026758879729537E-5</c:v>
                </c:pt>
                <c:pt idx="18">
                  <c:v>3.8194992315081627E-5</c:v>
                </c:pt>
                <c:pt idx="19">
                  <c:v>3.5361033859809795E-5</c:v>
                </c:pt>
                <c:pt idx="20">
                  <c:v>3.1723415544087734E-5</c:v>
                </c:pt>
                <c:pt idx="21">
                  <c:v>2.7239839480523332E-5</c:v>
                </c:pt>
                <c:pt idx="22">
                  <c:v>2.1868007781724471E-5</c:v>
                </c:pt>
                <c:pt idx="23">
                  <c:v>1.5565622560299012E-5</c:v>
                </c:pt>
                <c:pt idx="24">
                  <c:v>8.2903859288549036E-6</c:v>
                </c:pt>
                <c:pt idx="25">
                  <c:v>-5.4210108624275222E-20</c:v>
                </c:pt>
                <c:pt idx="26">
                  <c:v>-8.2903859288550527E-6</c:v>
                </c:pt>
                <c:pt idx="27">
                  <c:v>-1.5565622560299148E-5</c:v>
                </c:pt>
                <c:pt idx="28">
                  <c:v>-2.1868007781724675E-5</c:v>
                </c:pt>
                <c:pt idx="29">
                  <c:v>-2.723983948052359E-5</c:v>
                </c:pt>
                <c:pt idx="30">
                  <c:v>-3.1723415544087741E-5</c:v>
                </c:pt>
                <c:pt idx="31">
                  <c:v>-3.5361033859809951E-5</c:v>
                </c:pt>
                <c:pt idx="32">
                  <c:v>-3.8194992315081742E-5</c:v>
                </c:pt>
                <c:pt idx="33">
                  <c:v>-4.0267588797295506E-5</c:v>
                </c:pt>
                <c:pt idx="34">
                  <c:v>-4.1621121193843196E-5</c:v>
                </c:pt>
                <c:pt idx="35">
                  <c:v>-4.2297887392116987E-5</c:v>
                </c:pt>
                <c:pt idx="36">
                  <c:v>-4.2340185279509052E-5</c:v>
                </c:pt>
                <c:pt idx="37">
                  <c:v>-4.1790312743411563E-5</c:v>
                </c:pt>
                <c:pt idx="38">
                  <c:v>-4.0690567671216801E-5</c:v>
                </c:pt>
                <c:pt idx="39">
                  <c:v>-3.9083247950316181E-5</c:v>
                </c:pt>
                <c:pt idx="40">
                  <c:v>-3.7010651468102418E-5</c:v>
                </c:pt>
                <c:pt idx="41">
                  <c:v>-3.4515076111967576E-5</c:v>
                </c:pt>
                <c:pt idx="42">
                  <c:v>-3.1638819769303503E-5</c:v>
                </c:pt>
                <c:pt idx="43">
                  <c:v>-2.842418032750248E-5</c:v>
                </c:pt>
                <c:pt idx="44">
                  <c:v>-2.4913455673956572E-5</c:v>
                </c:pt>
                <c:pt idx="45">
                  <c:v>-2.1148943696058277E-5</c:v>
                </c:pt>
                <c:pt idx="46">
                  <c:v>-1.7172942281199659E-5</c:v>
                </c:pt>
                <c:pt idx="47">
                  <c:v>-1.3027749316772133E-5</c:v>
                </c:pt>
                <c:pt idx="48">
                  <c:v>-8.755662690168196E-6</c:v>
                </c:pt>
                <c:pt idx="49">
                  <c:v>-4.3989802887803471E-6</c:v>
                </c:pt>
                <c:pt idx="50">
                  <c:v>2.1684043449710089E-19</c:v>
                </c:pt>
              </c:numCache>
            </c:numRef>
          </c:val>
          <c:smooth val="1"/>
        </c:ser>
        <c:marker val="1"/>
        <c:axId val="77271808"/>
        <c:axId val="77273344"/>
      </c:lineChart>
      <c:catAx>
        <c:axId val="7727180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9525">
            <a:noFill/>
          </a:ln>
        </c:spPr>
        <c:crossAx val="77273344"/>
        <c:crosses val="autoZero"/>
        <c:lblAlgn val="ctr"/>
        <c:lblOffset val="100"/>
        <c:tickLblSkip val="10"/>
        <c:tickMarkSkip val="1"/>
      </c:catAx>
      <c:valAx>
        <c:axId val="7727334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2718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08355091383796E-2"/>
          <c:y val="0.21951219512195133"/>
          <c:w val="0.78067885117493474"/>
          <c:h val="0.57317073170731681"/>
        </c:manualLayout>
      </c:layout>
      <c:areaChart>
        <c:grouping val="stacked"/>
        <c:ser>
          <c:idx val="0"/>
          <c:order val="0"/>
          <c:spPr>
            <a:solidFill>
              <a:srgbClr val="808AFF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'Simple - Dist. A'!$L$12:$L$62</c:f>
              <c:numCache>
                <c:formatCode>General</c:formatCode>
                <c:ptCount val="51"/>
                <c:pt idx="0">
                  <c:v>0</c:v>
                </c:pt>
                <c:pt idx="1">
                  <c:v>0.72</c:v>
                </c:pt>
                <c:pt idx="2">
                  <c:v>1.44</c:v>
                </c:pt>
                <c:pt idx="3">
                  <c:v>2.16</c:v>
                </c:pt>
                <c:pt idx="4">
                  <c:v>2.88</c:v>
                </c:pt>
                <c:pt idx="5">
                  <c:v>3.6</c:v>
                </c:pt>
                <c:pt idx="6">
                  <c:v>4.32</c:v>
                </c:pt>
                <c:pt idx="7">
                  <c:v>5.0400000000000009</c:v>
                </c:pt>
                <c:pt idx="8">
                  <c:v>5.76</c:v>
                </c:pt>
                <c:pt idx="9">
                  <c:v>6.4799999999999995</c:v>
                </c:pt>
                <c:pt idx="10">
                  <c:v>7.1999999999999993</c:v>
                </c:pt>
                <c:pt idx="11">
                  <c:v>7.919999999999999</c:v>
                </c:pt>
                <c:pt idx="12">
                  <c:v>8.6399999999999988</c:v>
                </c:pt>
                <c:pt idx="13">
                  <c:v>9.3599999999999977</c:v>
                </c:pt>
                <c:pt idx="14">
                  <c:v>10.079999999999998</c:v>
                </c:pt>
                <c:pt idx="15">
                  <c:v>10.799999999999999</c:v>
                </c:pt>
                <c:pt idx="16">
                  <c:v>11.52</c:v>
                </c:pt>
                <c:pt idx="17">
                  <c:v>12.24</c:v>
                </c:pt>
                <c:pt idx="18">
                  <c:v>12.96</c:v>
                </c:pt>
                <c:pt idx="19">
                  <c:v>13.680000000000001</c:v>
                </c:pt>
                <c:pt idx="20">
                  <c:v>14.400000000000002</c:v>
                </c:pt>
                <c:pt idx="21">
                  <c:v>15.120000000000003</c:v>
                </c:pt>
                <c:pt idx="22">
                  <c:v>15.840000000000003</c:v>
                </c:pt>
                <c:pt idx="23">
                  <c:v>16.560000000000006</c:v>
                </c:pt>
                <c:pt idx="24">
                  <c:v>17.280000000000005</c:v>
                </c:pt>
                <c:pt idx="25">
                  <c:v>18.000000000000004</c:v>
                </c:pt>
                <c:pt idx="26">
                  <c:v>18.720000000000006</c:v>
                </c:pt>
                <c:pt idx="27">
                  <c:v>19.440000000000005</c:v>
                </c:pt>
                <c:pt idx="28">
                  <c:v>20.160000000000007</c:v>
                </c:pt>
                <c:pt idx="29">
                  <c:v>20.880000000000006</c:v>
                </c:pt>
                <c:pt idx="30">
                  <c:v>21.600000000000009</c:v>
                </c:pt>
                <c:pt idx="31">
                  <c:v>22.320000000000007</c:v>
                </c:pt>
                <c:pt idx="32">
                  <c:v>23.04000000000001</c:v>
                </c:pt>
                <c:pt idx="33">
                  <c:v>23.760000000000009</c:v>
                </c:pt>
                <c:pt idx="34">
                  <c:v>24.480000000000011</c:v>
                </c:pt>
                <c:pt idx="35">
                  <c:v>25.20000000000001</c:v>
                </c:pt>
                <c:pt idx="36">
                  <c:v>25.920000000000012</c:v>
                </c:pt>
                <c:pt idx="37">
                  <c:v>26.640000000000011</c:v>
                </c:pt>
                <c:pt idx="38">
                  <c:v>27.360000000000014</c:v>
                </c:pt>
                <c:pt idx="39">
                  <c:v>28.080000000000013</c:v>
                </c:pt>
                <c:pt idx="40">
                  <c:v>28.800000000000015</c:v>
                </c:pt>
                <c:pt idx="41">
                  <c:v>29.520000000000014</c:v>
                </c:pt>
                <c:pt idx="42">
                  <c:v>30.240000000000016</c:v>
                </c:pt>
                <c:pt idx="43">
                  <c:v>30.960000000000015</c:v>
                </c:pt>
                <c:pt idx="44">
                  <c:v>31.680000000000017</c:v>
                </c:pt>
                <c:pt idx="45">
                  <c:v>32.40000000000002</c:v>
                </c:pt>
                <c:pt idx="46">
                  <c:v>33.120000000000019</c:v>
                </c:pt>
                <c:pt idx="47">
                  <c:v>33.840000000000018</c:v>
                </c:pt>
                <c:pt idx="48">
                  <c:v>34.560000000000016</c:v>
                </c:pt>
                <c:pt idx="49">
                  <c:v>35.280000000000022</c:v>
                </c:pt>
                <c:pt idx="50">
                  <c:v>36.000000000000014</c:v>
                </c:pt>
              </c:numCache>
            </c:numRef>
          </c:cat>
          <c:val>
            <c:numRef>
              <c:f>'Simple - Dist. A'!$M$12:$M$62</c:f>
              <c:numCache>
                <c:formatCode>General</c:formatCode>
                <c:ptCount val="5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1.2000000000000002</c:v>
                </c:pt>
                <c:pt idx="4">
                  <c:v>1.6</c:v>
                </c:pt>
                <c:pt idx="5">
                  <c:v>2</c:v>
                </c:pt>
                <c:pt idx="6">
                  <c:v>2.4000000000000004</c:v>
                </c:pt>
                <c:pt idx="7">
                  <c:v>2.8000000000000007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4.3999999999999995</c:v>
                </c:pt>
                <c:pt idx="12">
                  <c:v>4.8</c:v>
                </c:pt>
                <c:pt idx="13">
                  <c:v>5.1999999999999993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6.8000000000000007</c:v>
                </c:pt>
                <c:pt idx="18">
                  <c:v>7.2000000000000011</c:v>
                </c:pt>
                <c:pt idx="19">
                  <c:v>7.6000000000000014</c:v>
                </c:pt>
                <c:pt idx="20">
                  <c:v>8.0000000000000018</c:v>
                </c:pt>
                <c:pt idx="21">
                  <c:v>8.4000000000000021</c:v>
                </c:pt>
                <c:pt idx="22">
                  <c:v>8.8000000000000025</c:v>
                </c:pt>
                <c:pt idx="23">
                  <c:v>9.2000000000000028</c:v>
                </c:pt>
                <c:pt idx="24">
                  <c:v>9.6000000000000032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77361152"/>
        <c:axId val="77362688"/>
      </c:areaChart>
      <c:catAx>
        <c:axId val="77361152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7362688"/>
        <c:crosses val="autoZero"/>
        <c:lblAlgn val="ctr"/>
        <c:lblOffset val="100"/>
        <c:tickLblSkip val="10"/>
        <c:tickMarkSkip val="1"/>
      </c:catAx>
      <c:valAx>
        <c:axId val="77362688"/>
        <c:scaling>
          <c:orientation val="minMax"/>
          <c:min val="0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773611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</xdr:row>
      <xdr:rowOff>0</xdr:rowOff>
    </xdr:from>
    <xdr:to>
      <xdr:col>6</xdr:col>
      <xdr:colOff>295275</xdr:colOff>
      <xdr:row>8</xdr:row>
      <xdr:rowOff>28575</xdr:rowOff>
    </xdr:to>
    <xdr:pic>
      <xdr:nvPicPr>
        <xdr:cNvPr id="2062" name="Picture 14" descr="wdvEye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91100" y="171450"/>
          <a:ext cx="1428750" cy="14287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142875</xdr:colOff>
      <xdr:row>36</xdr:row>
      <xdr:rowOff>95250</xdr:rowOff>
    </xdr:from>
    <xdr:to>
      <xdr:col>12</xdr:col>
      <xdr:colOff>104775</xdr:colOff>
      <xdr:row>37</xdr:row>
      <xdr:rowOff>133350</xdr:rowOff>
    </xdr:to>
    <xdr:grpSp>
      <xdr:nvGrpSpPr>
        <xdr:cNvPr id="2073" name="Group 25"/>
        <xdr:cNvGrpSpPr>
          <a:grpSpLocks/>
        </xdr:cNvGrpSpPr>
      </xdr:nvGrpSpPr>
      <xdr:grpSpPr bwMode="auto">
        <a:xfrm>
          <a:off x="9191625" y="7334250"/>
          <a:ext cx="1390650" cy="266700"/>
          <a:chOff x="-7409" y="-11286188"/>
          <a:chExt cx="19430" cy="24464"/>
        </a:xfrm>
      </xdr:grpSpPr>
      <xdr:sp macro="" textlink="">
        <xdr:nvSpPr>
          <xdr:cNvPr id="2074" name="Text 12"/>
          <xdr:cNvSpPr txBox="1">
            <a:spLocks noChangeArrowheads="1"/>
          </xdr:cNvSpPr>
        </xdr:nvSpPr>
        <xdr:spPr bwMode="auto">
          <a:xfrm>
            <a:off x="-7409" y="-11278404"/>
            <a:ext cx="18090" cy="1668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Geneva"/>
              </a:rPr>
              <a:t>1.5E-03 means 1.5 x 10</a:t>
            </a:r>
          </a:p>
        </xdr:txBody>
      </xdr:sp>
      <xdr:sp macro="" textlink="">
        <xdr:nvSpPr>
          <xdr:cNvPr id="2075" name="Text 11"/>
          <xdr:cNvSpPr txBox="1">
            <a:spLocks noChangeArrowheads="1"/>
          </xdr:cNvSpPr>
        </xdr:nvSpPr>
        <xdr:spPr bwMode="auto">
          <a:xfrm>
            <a:off x="9341" y="-11286188"/>
            <a:ext cx="2680" cy="1890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900" b="0" i="0" strike="noStrike">
                <a:solidFill>
                  <a:srgbClr val="000000"/>
                </a:solidFill>
                <a:latin typeface="Geneva"/>
              </a:rPr>
              <a:t>-3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6178" name="Rectangle 818"/>
        <xdr:cNvSpPr>
          <a:spLocks noChangeArrowheads="1"/>
        </xdr:cNvSpPr>
      </xdr:nvSpPr>
      <xdr:spPr bwMode="auto">
        <a:xfrm>
          <a:off x="409575" y="3219450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6154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6180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6191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17</xdr:row>
      <xdr:rowOff>76200</xdr:rowOff>
    </xdr:from>
    <xdr:to>
      <xdr:col>6</xdr:col>
      <xdr:colOff>76200</xdr:colOff>
      <xdr:row>23</xdr:row>
      <xdr:rowOff>47625</xdr:rowOff>
    </xdr:to>
    <xdr:graphicFrame macro="">
      <xdr:nvGraphicFramePr>
        <xdr:cNvPr id="16179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14</xdr:row>
      <xdr:rowOff>180975</xdr:rowOff>
    </xdr:from>
    <xdr:to>
      <xdr:col>0</xdr:col>
      <xdr:colOff>409575</xdr:colOff>
      <xdr:row>20</xdr:row>
      <xdr:rowOff>114300</xdr:rowOff>
    </xdr:to>
    <xdr:sp macro="" textlink="">
      <xdr:nvSpPr>
        <xdr:cNvPr id="16237" name="Drawing 877"/>
        <xdr:cNvSpPr>
          <a:spLocks/>
        </xdr:cNvSpPr>
      </xdr:nvSpPr>
      <xdr:spPr bwMode="auto">
        <a:xfrm>
          <a:off x="228600" y="2847975"/>
          <a:ext cx="180975" cy="962025"/>
        </a:xfrm>
        <a:custGeom>
          <a:avLst/>
          <a:gdLst/>
          <a:ahLst/>
          <a:cxnLst>
            <a:cxn ang="0">
              <a:pos x="2867" y="0"/>
            </a:cxn>
            <a:cxn ang="0">
              <a:pos x="16384" y="0"/>
            </a:cxn>
            <a:cxn ang="0">
              <a:pos x="16384" y="16384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2867" y="0"/>
              </a:moveTo>
              <a:lnTo>
                <a:pt x="16384" y="0"/>
              </a:lnTo>
              <a:lnTo>
                <a:pt x="16384" y="16384"/>
              </a:lnTo>
              <a:lnTo>
                <a:pt x="0" y="16384"/>
              </a:lnTo>
            </a:path>
          </a:pathLst>
        </a:custGeom>
        <a:pattFill prst="ltUpDiag">
          <a:fgClr>
            <a:srgbClr val="000000"/>
          </a:fgClr>
          <a:bgClr>
            <a:srgbClr val="ABABAB"/>
          </a:bgClr>
        </a:patt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400050</xdr:colOff>
      <xdr:row>18</xdr:row>
      <xdr:rowOff>133350</xdr:rowOff>
    </xdr:from>
    <xdr:to>
      <xdr:col>0</xdr:col>
      <xdr:colOff>400050</xdr:colOff>
      <xdr:row>21</xdr:row>
      <xdr:rowOff>114300</xdr:rowOff>
    </xdr:to>
    <xdr:sp macro="" textlink="">
      <xdr:nvSpPr>
        <xdr:cNvPr id="16242" name="Line 882"/>
        <xdr:cNvSpPr>
          <a:spLocks noChangeShapeType="1"/>
        </xdr:cNvSpPr>
      </xdr:nvSpPr>
      <xdr:spPr bwMode="auto">
        <a:xfrm flipV="1">
          <a:off x="400050" y="3476625"/>
          <a:ext cx="0" cy="50482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133350</xdr:colOff>
      <xdr:row>16</xdr:row>
      <xdr:rowOff>95250</xdr:rowOff>
    </xdr:from>
    <xdr:to>
      <xdr:col>0</xdr:col>
      <xdr:colOff>381000</xdr:colOff>
      <xdr:row>19</xdr:row>
      <xdr:rowOff>95250</xdr:rowOff>
    </xdr:to>
    <xdr:grpSp>
      <xdr:nvGrpSpPr>
        <xdr:cNvPr id="16238" name="Group 878"/>
        <xdr:cNvGrpSpPr>
          <a:grpSpLocks/>
        </xdr:cNvGrpSpPr>
      </xdr:nvGrpSpPr>
      <xdr:grpSpPr bwMode="auto">
        <a:xfrm>
          <a:off x="133350" y="3114675"/>
          <a:ext cx="247650" cy="495300"/>
          <a:chOff x="-29" y="-10918"/>
          <a:chExt cx="26" cy="260"/>
        </a:xfrm>
      </xdr:grpSpPr>
      <xdr:sp macro="" textlink="">
        <xdr:nvSpPr>
          <xdr:cNvPr id="16239" name="Arc 879"/>
          <xdr:cNvSpPr>
            <a:spLocks/>
          </xdr:cNvSpPr>
        </xdr:nvSpPr>
        <xdr:spPr bwMode="auto">
          <a:xfrm flipV="1">
            <a:off x="-28" y="-10783"/>
            <a:ext cx="25" cy="12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40" name="Arc 880"/>
          <xdr:cNvSpPr>
            <a:spLocks/>
          </xdr:cNvSpPr>
        </xdr:nvSpPr>
        <xdr:spPr bwMode="auto">
          <a:xfrm>
            <a:off x="-23" y="-10918"/>
            <a:ext cx="20" cy="13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41" name="Line 881"/>
          <xdr:cNvSpPr>
            <a:spLocks noChangeShapeType="1"/>
          </xdr:cNvSpPr>
        </xdr:nvSpPr>
        <xdr:spPr bwMode="auto">
          <a:xfrm flipH="1" flipV="1">
            <a:off x="-29" y="-10918"/>
            <a:ext cx="8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7202" name="Rectangle 818"/>
        <xdr:cNvSpPr>
          <a:spLocks noChangeArrowheads="1"/>
        </xdr:cNvSpPr>
      </xdr:nvSpPr>
      <xdr:spPr bwMode="auto">
        <a:xfrm>
          <a:off x="409575" y="3219450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7178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7204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7215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17</xdr:row>
      <xdr:rowOff>76200</xdr:rowOff>
    </xdr:from>
    <xdr:to>
      <xdr:col>6</xdr:col>
      <xdr:colOff>76200</xdr:colOff>
      <xdr:row>23</xdr:row>
      <xdr:rowOff>47625</xdr:rowOff>
    </xdr:to>
    <xdr:graphicFrame macro="">
      <xdr:nvGraphicFramePr>
        <xdr:cNvPr id="17203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14</xdr:row>
      <xdr:rowOff>180975</xdr:rowOff>
    </xdr:from>
    <xdr:to>
      <xdr:col>0</xdr:col>
      <xdr:colOff>409575</xdr:colOff>
      <xdr:row>20</xdr:row>
      <xdr:rowOff>114300</xdr:rowOff>
    </xdr:to>
    <xdr:sp macro="" textlink="">
      <xdr:nvSpPr>
        <xdr:cNvPr id="17261" name="Drawing 877"/>
        <xdr:cNvSpPr>
          <a:spLocks/>
        </xdr:cNvSpPr>
      </xdr:nvSpPr>
      <xdr:spPr bwMode="auto">
        <a:xfrm>
          <a:off x="228600" y="2847975"/>
          <a:ext cx="180975" cy="962025"/>
        </a:xfrm>
        <a:custGeom>
          <a:avLst/>
          <a:gdLst/>
          <a:ahLst/>
          <a:cxnLst>
            <a:cxn ang="0">
              <a:pos x="2867" y="0"/>
            </a:cxn>
            <a:cxn ang="0">
              <a:pos x="16384" y="0"/>
            </a:cxn>
            <a:cxn ang="0">
              <a:pos x="16384" y="16384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2867" y="0"/>
              </a:moveTo>
              <a:lnTo>
                <a:pt x="16384" y="0"/>
              </a:lnTo>
              <a:lnTo>
                <a:pt x="16384" y="16384"/>
              </a:lnTo>
              <a:lnTo>
                <a:pt x="0" y="16384"/>
              </a:lnTo>
            </a:path>
          </a:pathLst>
        </a:custGeom>
        <a:pattFill prst="ltUpDiag">
          <a:fgClr>
            <a:srgbClr val="000000"/>
          </a:fgClr>
          <a:bgClr>
            <a:srgbClr val="ABABAB"/>
          </a:bgClr>
        </a:patt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400050</xdr:colOff>
      <xdr:row>18</xdr:row>
      <xdr:rowOff>133350</xdr:rowOff>
    </xdr:from>
    <xdr:to>
      <xdr:col>0</xdr:col>
      <xdr:colOff>400050</xdr:colOff>
      <xdr:row>21</xdr:row>
      <xdr:rowOff>114300</xdr:rowOff>
    </xdr:to>
    <xdr:sp macro="" textlink="">
      <xdr:nvSpPr>
        <xdr:cNvPr id="17266" name="Line 882"/>
        <xdr:cNvSpPr>
          <a:spLocks noChangeShapeType="1"/>
        </xdr:cNvSpPr>
      </xdr:nvSpPr>
      <xdr:spPr bwMode="auto">
        <a:xfrm flipV="1">
          <a:off x="400050" y="3476625"/>
          <a:ext cx="0" cy="50482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133350</xdr:colOff>
      <xdr:row>16</xdr:row>
      <xdr:rowOff>95250</xdr:rowOff>
    </xdr:from>
    <xdr:to>
      <xdr:col>0</xdr:col>
      <xdr:colOff>381000</xdr:colOff>
      <xdr:row>19</xdr:row>
      <xdr:rowOff>95250</xdr:rowOff>
    </xdr:to>
    <xdr:grpSp>
      <xdr:nvGrpSpPr>
        <xdr:cNvPr id="17262" name="Group 878"/>
        <xdr:cNvGrpSpPr>
          <a:grpSpLocks/>
        </xdr:cNvGrpSpPr>
      </xdr:nvGrpSpPr>
      <xdr:grpSpPr bwMode="auto">
        <a:xfrm>
          <a:off x="133350" y="3114675"/>
          <a:ext cx="247650" cy="495300"/>
          <a:chOff x="-29" y="-10918"/>
          <a:chExt cx="26" cy="260"/>
        </a:xfrm>
      </xdr:grpSpPr>
      <xdr:sp macro="" textlink="">
        <xdr:nvSpPr>
          <xdr:cNvPr id="17263" name="Arc 879"/>
          <xdr:cNvSpPr>
            <a:spLocks/>
          </xdr:cNvSpPr>
        </xdr:nvSpPr>
        <xdr:spPr bwMode="auto">
          <a:xfrm flipV="1">
            <a:off x="-28" y="-10783"/>
            <a:ext cx="25" cy="12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264" name="Arc 880"/>
          <xdr:cNvSpPr>
            <a:spLocks/>
          </xdr:cNvSpPr>
        </xdr:nvSpPr>
        <xdr:spPr bwMode="auto">
          <a:xfrm>
            <a:off x="-23" y="-10918"/>
            <a:ext cx="20" cy="13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265" name="Line 881"/>
          <xdr:cNvSpPr>
            <a:spLocks noChangeShapeType="1"/>
          </xdr:cNvSpPr>
        </xdr:nvSpPr>
        <xdr:spPr bwMode="auto">
          <a:xfrm flipH="1" flipV="1">
            <a:off x="-29" y="-10918"/>
            <a:ext cx="8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0</xdr:rowOff>
    </xdr:from>
    <xdr:to>
      <xdr:col>1</xdr:col>
      <xdr:colOff>0</xdr:colOff>
      <xdr:row>20</xdr:row>
      <xdr:rowOff>114300</xdr:rowOff>
    </xdr:to>
    <xdr:sp macro="" textlink="">
      <xdr:nvSpPr>
        <xdr:cNvPr id="18259" name="Drawing 851"/>
        <xdr:cNvSpPr>
          <a:spLocks/>
        </xdr:cNvSpPr>
      </xdr:nvSpPr>
      <xdr:spPr bwMode="auto">
        <a:xfrm>
          <a:off x="228600" y="2743200"/>
          <a:ext cx="180975" cy="962025"/>
        </a:xfrm>
        <a:custGeom>
          <a:avLst/>
          <a:gdLst/>
          <a:ahLst/>
          <a:cxnLst>
            <a:cxn ang="0">
              <a:pos x="2867" y="0"/>
            </a:cxn>
            <a:cxn ang="0">
              <a:pos x="16384" y="0"/>
            </a:cxn>
            <a:cxn ang="0">
              <a:pos x="16384" y="16384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2867" y="0"/>
              </a:moveTo>
              <a:lnTo>
                <a:pt x="16384" y="0"/>
              </a:lnTo>
              <a:lnTo>
                <a:pt x="16384" y="16384"/>
              </a:lnTo>
              <a:lnTo>
                <a:pt x="0" y="16384"/>
              </a:lnTo>
            </a:path>
          </a:pathLst>
        </a:custGeom>
        <a:pattFill prst="ltUpDiag">
          <a:fgClr>
            <a:srgbClr val="000000"/>
          </a:fgClr>
          <a:bgClr>
            <a:srgbClr val="ABABAB"/>
          </a:bgClr>
        </a:patt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400050</xdr:colOff>
      <xdr:row>18</xdr:row>
      <xdr:rowOff>133350</xdr:rowOff>
    </xdr:from>
    <xdr:to>
      <xdr:col>0</xdr:col>
      <xdr:colOff>400050</xdr:colOff>
      <xdr:row>21</xdr:row>
      <xdr:rowOff>114300</xdr:rowOff>
    </xdr:to>
    <xdr:sp macro="" textlink="">
      <xdr:nvSpPr>
        <xdr:cNvPr id="18260" name="Line 852"/>
        <xdr:cNvSpPr>
          <a:spLocks noChangeShapeType="1"/>
        </xdr:cNvSpPr>
      </xdr:nvSpPr>
      <xdr:spPr bwMode="auto">
        <a:xfrm flipV="1">
          <a:off x="400050" y="3371850"/>
          <a:ext cx="0" cy="50482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8226" name="Rectangle 818"/>
        <xdr:cNvSpPr>
          <a:spLocks noChangeArrowheads="1"/>
        </xdr:cNvSpPr>
      </xdr:nvSpPr>
      <xdr:spPr bwMode="auto">
        <a:xfrm>
          <a:off x="409575" y="3114675"/>
          <a:ext cx="333375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400050</xdr:colOff>
      <xdr:row>29</xdr:row>
      <xdr:rowOff>0</xdr:rowOff>
    </xdr:from>
    <xdr:to>
      <xdr:col>6</xdr:col>
      <xdr:colOff>114300</xdr:colOff>
      <xdr:row>39</xdr:row>
      <xdr:rowOff>0</xdr:rowOff>
    </xdr:to>
    <xdr:graphicFrame macro="">
      <xdr:nvGraphicFramePr>
        <xdr:cNvPr id="18228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40</xdr:row>
      <xdr:rowOff>0</xdr:rowOff>
    </xdr:from>
    <xdr:to>
      <xdr:col>6</xdr:col>
      <xdr:colOff>123825</xdr:colOff>
      <xdr:row>50</xdr:row>
      <xdr:rowOff>0</xdr:rowOff>
    </xdr:to>
    <xdr:graphicFrame macro="">
      <xdr:nvGraphicFramePr>
        <xdr:cNvPr id="18239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17</xdr:row>
      <xdr:rowOff>66675</xdr:rowOff>
    </xdr:from>
    <xdr:to>
      <xdr:col>6</xdr:col>
      <xdr:colOff>190500</xdr:colOff>
      <xdr:row>23</xdr:row>
      <xdr:rowOff>38100</xdr:rowOff>
    </xdr:to>
    <xdr:graphicFrame macro="">
      <xdr:nvGraphicFramePr>
        <xdr:cNvPr id="18227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16</xdr:row>
      <xdr:rowOff>95250</xdr:rowOff>
    </xdr:from>
    <xdr:to>
      <xdr:col>0</xdr:col>
      <xdr:colOff>552450</xdr:colOff>
      <xdr:row>19</xdr:row>
      <xdr:rowOff>95250</xdr:rowOff>
    </xdr:to>
    <xdr:grpSp>
      <xdr:nvGrpSpPr>
        <xdr:cNvPr id="18261" name="Group 853"/>
        <xdr:cNvGrpSpPr>
          <a:grpSpLocks/>
        </xdr:cNvGrpSpPr>
      </xdr:nvGrpSpPr>
      <xdr:grpSpPr bwMode="auto">
        <a:xfrm>
          <a:off x="304800" y="3009900"/>
          <a:ext cx="247650" cy="495300"/>
          <a:chOff x="-29" y="-10917"/>
          <a:chExt cx="26" cy="260"/>
        </a:xfrm>
      </xdr:grpSpPr>
      <xdr:sp macro="" textlink="">
        <xdr:nvSpPr>
          <xdr:cNvPr id="18262" name="Arc 854"/>
          <xdr:cNvSpPr>
            <a:spLocks/>
          </xdr:cNvSpPr>
        </xdr:nvSpPr>
        <xdr:spPr bwMode="auto">
          <a:xfrm flipV="1">
            <a:off x="-28" y="-10782"/>
            <a:ext cx="25" cy="12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263" name="Arc 855"/>
          <xdr:cNvSpPr>
            <a:spLocks/>
          </xdr:cNvSpPr>
        </xdr:nvSpPr>
        <xdr:spPr bwMode="auto">
          <a:xfrm>
            <a:off x="-23" y="-10917"/>
            <a:ext cx="20" cy="13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264" name="Line 856"/>
          <xdr:cNvSpPr>
            <a:spLocks noChangeShapeType="1"/>
          </xdr:cNvSpPr>
        </xdr:nvSpPr>
        <xdr:spPr bwMode="auto">
          <a:xfrm flipH="1" flipV="1">
            <a:off x="-29" y="-10917"/>
            <a:ext cx="8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438150</xdr:colOff>
      <xdr:row>10</xdr:row>
      <xdr:rowOff>0</xdr:rowOff>
    </xdr:from>
    <xdr:to>
      <xdr:col>7</xdr:col>
      <xdr:colOff>209550</xdr:colOff>
      <xdr:row>19</xdr:row>
      <xdr:rowOff>28575</xdr:rowOff>
    </xdr:to>
    <xdr:graphicFrame macro="">
      <xdr:nvGraphicFramePr>
        <xdr:cNvPr id="18202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190499</xdr:colOff>
      <xdr:row>24</xdr:row>
      <xdr:rowOff>104775</xdr:rowOff>
    </xdr:from>
    <xdr:to>
      <xdr:col>3</xdr:col>
      <xdr:colOff>342900</xdr:colOff>
      <xdr:row>37</xdr:row>
      <xdr:rowOff>171450</xdr:rowOff>
    </xdr:to>
    <xdr:sp macro="" textlink="">
      <xdr:nvSpPr>
        <xdr:cNvPr id="2" name="Rectangle 818"/>
        <xdr:cNvSpPr>
          <a:spLocks noChangeArrowheads="1"/>
        </xdr:cNvSpPr>
      </xdr:nvSpPr>
      <xdr:spPr bwMode="auto">
        <a:xfrm>
          <a:off x="1762124" y="4505325"/>
          <a:ext cx="152401" cy="254317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257969</xdr:colOff>
      <xdr:row>17</xdr:row>
      <xdr:rowOff>29369</xdr:rowOff>
    </xdr:from>
    <xdr:to>
      <xdr:col>3</xdr:col>
      <xdr:colOff>257969</xdr:colOff>
      <xdr:row>24</xdr:row>
      <xdr:rowOff>42704</xdr:rowOff>
    </xdr:to>
    <xdr:cxnSp macro="">
      <xdr:nvCxnSpPr>
        <xdr:cNvPr id="26" name="Straight Arrow Connector 25"/>
        <xdr:cNvCxnSpPr/>
      </xdr:nvCxnSpPr>
      <xdr:spPr bwMode="auto">
        <a:xfrm rot="5400000">
          <a:off x="1189514" y="3803174"/>
          <a:ext cx="1280160" cy="0"/>
        </a:xfrm>
        <a:prstGeom prst="straightConnector1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stealth" w="lg" len="lg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0034" name="Rectangle 818"/>
        <xdr:cNvSpPr>
          <a:spLocks noChangeArrowheads="1"/>
        </xdr:cNvSpPr>
      </xdr:nvSpPr>
      <xdr:spPr bwMode="auto">
        <a:xfrm>
          <a:off x="409575" y="3171825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0010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18</xdr:row>
      <xdr:rowOff>114300</xdr:rowOff>
    </xdr:from>
    <xdr:to>
      <xdr:col>6</xdr:col>
      <xdr:colOff>114300</xdr:colOff>
      <xdr:row>22</xdr:row>
      <xdr:rowOff>76200</xdr:rowOff>
    </xdr:to>
    <xdr:grpSp>
      <xdr:nvGrpSpPr>
        <xdr:cNvPr id="10097" name="Group 881"/>
        <xdr:cNvGrpSpPr>
          <a:grpSpLocks/>
        </xdr:cNvGrpSpPr>
      </xdr:nvGrpSpPr>
      <xdr:grpSpPr bwMode="auto">
        <a:xfrm>
          <a:off x="3257550" y="3409950"/>
          <a:ext cx="238125" cy="647700"/>
          <a:chOff x="-5210" y="-55344"/>
          <a:chExt cx="9600" cy="612"/>
        </a:xfrm>
      </xdr:grpSpPr>
      <xdr:sp macro="" textlink="">
        <xdr:nvSpPr>
          <xdr:cNvPr id="10016" name="Rectangle 800"/>
          <xdr:cNvSpPr>
            <a:spLocks noChangeArrowheads="1"/>
          </xdr:cNvSpPr>
        </xdr:nvSpPr>
        <xdr:spPr bwMode="auto">
          <a:xfrm>
            <a:off x="-5210" y="-55191"/>
            <a:ext cx="9600" cy="225"/>
          </a:xfrm>
          <a:prstGeom prst="rect">
            <a:avLst/>
          </a:prstGeom>
          <a:pattFill prst="pct20">
            <a:fgClr>
              <a:srgbClr val="000000"/>
            </a:fgClr>
            <a:bgClr>
              <a:srgbClr val="C0C0C0"/>
            </a:bgClr>
          </a:pattFill>
          <a:ln w="1">
            <a:noFill/>
            <a:miter lim="800000"/>
            <a:headEnd/>
            <a:tailEnd/>
          </a:ln>
        </xdr:spPr>
      </xdr:sp>
      <xdr:sp macro="" textlink="">
        <xdr:nvSpPr>
          <xdr:cNvPr id="10017" name="Line 801"/>
          <xdr:cNvSpPr>
            <a:spLocks noChangeShapeType="1"/>
          </xdr:cNvSpPr>
        </xdr:nvSpPr>
        <xdr:spPr bwMode="auto">
          <a:xfrm>
            <a:off x="-5210" y="-55254"/>
            <a:ext cx="96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18" name="Line 802"/>
          <xdr:cNvSpPr>
            <a:spLocks noChangeShapeType="1"/>
          </xdr:cNvSpPr>
        </xdr:nvSpPr>
        <xdr:spPr bwMode="auto">
          <a:xfrm>
            <a:off x="-218" y="-55344"/>
            <a:ext cx="2688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19" name="Line 803"/>
          <xdr:cNvSpPr>
            <a:spLocks noChangeShapeType="1"/>
          </xdr:cNvSpPr>
        </xdr:nvSpPr>
        <xdr:spPr bwMode="auto">
          <a:xfrm flipH="1">
            <a:off x="-4058" y="-55344"/>
            <a:ext cx="3456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20" name="Line 804"/>
          <xdr:cNvSpPr>
            <a:spLocks noChangeShapeType="1"/>
          </xdr:cNvSpPr>
        </xdr:nvSpPr>
        <xdr:spPr bwMode="auto">
          <a:xfrm>
            <a:off x="-5210" y="-55191"/>
            <a:ext cx="96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21" name="Oval 805"/>
          <xdr:cNvSpPr>
            <a:spLocks noChangeArrowheads="1"/>
          </xdr:cNvSpPr>
        </xdr:nvSpPr>
        <xdr:spPr bwMode="auto">
          <a:xfrm>
            <a:off x="-4442" y="-55245"/>
            <a:ext cx="1920" cy="54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22" name="Oval 806"/>
          <xdr:cNvSpPr>
            <a:spLocks noChangeArrowheads="1"/>
          </xdr:cNvSpPr>
        </xdr:nvSpPr>
        <xdr:spPr bwMode="auto">
          <a:xfrm>
            <a:off x="1702" y="-55245"/>
            <a:ext cx="2304" cy="54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23" name="Oval 807"/>
          <xdr:cNvSpPr>
            <a:spLocks noChangeArrowheads="1"/>
          </xdr:cNvSpPr>
        </xdr:nvSpPr>
        <xdr:spPr bwMode="auto">
          <a:xfrm>
            <a:off x="-1370" y="-55245"/>
            <a:ext cx="2304" cy="54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24" name="Line 808"/>
          <xdr:cNvSpPr>
            <a:spLocks noChangeShapeType="1"/>
          </xdr:cNvSpPr>
        </xdr:nvSpPr>
        <xdr:spPr bwMode="auto">
          <a:xfrm flipV="1">
            <a:off x="-602" y="-55119"/>
            <a:ext cx="0" cy="387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0036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18</xdr:row>
      <xdr:rowOff>123825</xdr:rowOff>
    </xdr:from>
    <xdr:to>
      <xdr:col>1</xdr:col>
      <xdr:colOff>114300</xdr:colOff>
      <xdr:row>22</xdr:row>
      <xdr:rowOff>76200</xdr:rowOff>
    </xdr:to>
    <xdr:grpSp>
      <xdr:nvGrpSpPr>
        <xdr:cNvPr id="10037" name="Group 821"/>
        <xdr:cNvGrpSpPr>
          <a:grpSpLocks/>
        </xdr:cNvGrpSpPr>
      </xdr:nvGrpSpPr>
      <xdr:grpSpPr bwMode="auto">
        <a:xfrm>
          <a:off x="285750" y="3419475"/>
          <a:ext cx="238125" cy="638175"/>
          <a:chOff x="-4258" y="-55335"/>
          <a:chExt cx="8200" cy="603"/>
        </a:xfrm>
      </xdr:grpSpPr>
      <xdr:grpSp>
        <xdr:nvGrpSpPr>
          <xdr:cNvPr id="10038" name="Group 822"/>
          <xdr:cNvGrpSpPr>
            <a:grpSpLocks/>
          </xdr:cNvGrpSpPr>
        </xdr:nvGrpSpPr>
        <xdr:grpSpPr bwMode="auto">
          <a:xfrm>
            <a:off x="-4258" y="-55335"/>
            <a:ext cx="8200" cy="216"/>
            <a:chOff x="600000" y="7180000"/>
            <a:chExt cx="500000" cy="480000"/>
          </a:xfrm>
        </xdr:grpSpPr>
        <xdr:grpSp>
          <xdr:nvGrpSpPr>
            <xdr:cNvPr id="10039" name="Group 823"/>
            <xdr:cNvGrpSpPr>
              <a:grpSpLocks/>
            </xdr:cNvGrpSpPr>
          </xdr:nvGrpSpPr>
          <xdr:grpSpPr bwMode="auto">
            <a:xfrm>
              <a:off x="600000" y="7380000"/>
              <a:ext cx="500000" cy="280000"/>
              <a:chOff x="600000" y="7380000"/>
              <a:chExt cx="500000" cy="280000"/>
            </a:xfrm>
          </xdr:grpSpPr>
          <xdr:sp macro="" textlink="">
            <xdr:nvSpPr>
              <xdr:cNvPr id="10040" name="Rectangle 824"/>
              <xdr:cNvSpPr>
                <a:spLocks noChangeArrowheads="1"/>
              </xdr:cNvSpPr>
            </xdr:nvSpPr>
            <xdr:spPr bwMode="auto">
              <a:xfrm>
                <a:off x="600000" y="7380000"/>
                <a:ext cx="500000" cy="280000"/>
              </a:xfrm>
              <a:prstGeom prst="rect">
                <a:avLst/>
              </a:prstGeom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10041" name="Line 825"/>
              <xdr:cNvSpPr>
                <a:spLocks noChangeShapeType="1"/>
              </xdr:cNvSpPr>
            </xdr:nvSpPr>
            <xdr:spPr bwMode="auto">
              <a:xfrm>
                <a:off x="600000" y="7380000"/>
                <a:ext cx="5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0042" name="Line 826"/>
            <xdr:cNvSpPr>
              <a:spLocks noChangeShapeType="1"/>
            </xdr:cNvSpPr>
          </xdr:nvSpPr>
          <xdr:spPr bwMode="auto">
            <a:xfrm>
              <a:off x="860000" y="71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043" name="Line 827"/>
            <xdr:cNvSpPr>
              <a:spLocks noChangeShapeType="1"/>
            </xdr:cNvSpPr>
          </xdr:nvSpPr>
          <xdr:spPr bwMode="auto">
            <a:xfrm flipH="1">
              <a:off x="680000" y="71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0044" name="Line 828"/>
          <xdr:cNvSpPr>
            <a:spLocks noChangeShapeType="1"/>
          </xdr:cNvSpPr>
        </xdr:nvSpPr>
        <xdr:spPr bwMode="auto">
          <a:xfrm flipV="1">
            <a:off x="6" y="-55218"/>
            <a:ext cx="0" cy="486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0047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23</xdr:row>
      <xdr:rowOff>85725</xdr:rowOff>
    </xdr:from>
    <xdr:to>
      <xdr:col>6</xdr:col>
      <xdr:colOff>104775</xdr:colOff>
      <xdr:row>29</xdr:row>
      <xdr:rowOff>47625</xdr:rowOff>
    </xdr:to>
    <xdr:graphicFrame macro="">
      <xdr:nvGraphicFramePr>
        <xdr:cNvPr id="10035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9010" name="Rectangle 818"/>
        <xdr:cNvSpPr>
          <a:spLocks noChangeArrowheads="1"/>
        </xdr:cNvSpPr>
      </xdr:nvSpPr>
      <xdr:spPr bwMode="auto">
        <a:xfrm>
          <a:off x="409575" y="3171825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8986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20</xdr:row>
      <xdr:rowOff>161925</xdr:rowOff>
    </xdr:to>
    <xdr:sp macro="" textlink="">
      <xdr:nvSpPr>
        <xdr:cNvPr id="8992" name="Rectangle 800"/>
        <xdr:cNvSpPr>
          <a:spLocks noChangeArrowheads="1"/>
        </xdr:cNvSpPr>
      </xdr:nvSpPr>
      <xdr:spPr bwMode="auto">
        <a:xfrm>
          <a:off x="3257550" y="3571875"/>
          <a:ext cx="238125" cy="238125"/>
        </a:xfrm>
        <a:prstGeom prst="rect">
          <a:avLst/>
        </a:prstGeom>
        <a:pattFill prst="pct20">
          <a:fgClr>
            <a:srgbClr val="000000"/>
          </a:fgClr>
          <a:bgClr>
            <a:srgbClr val="C0C0C0"/>
          </a:bgClr>
        </a:pattFill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38100</xdr:rowOff>
    </xdr:from>
    <xdr:to>
      <xdr:col>6</xdr:col>
      <xdr:colOff>114300</xdr:colOff>
      <xdr:row>19</xdr:row>
      <xdr:rowOff>38100</xdr:rowOff>
    </xdr:to>
    <xdr:sp macro="" textlink="">
      <xdr:nvSpPr>
        <xdr:cNvPr id="8993" name="Line 801"/>
        <xdr:cNvSpPr>
          <a:spLocks noChangeShapeType="1"/>
        </xdr:cNvSpPr>
      </xdr:nvSpPr>
      <xdr:spPr bwMode="auto">
        <a:xfrm>
          <a:off x="3257550" y="35052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114300</xdr:rowOff>
    </xdr:from>
    <xdr:to>
      <xdr:col>6</xdr:col>
      <xdr:colOff>66675</xdr:colOff>
      <xdr:row>19</xdr:row>
      <xdr:rowOff>38100</xdr:rowOff>
    </xdr:to>
    <xdr:sp macro="" textlink="">
      <xdr:nvSpPr>
        <xdr:cNvPr id="8994" name="Line 802"/>
        <xdr:cNvSpPr>
          <a:spLocks noChangeShapeType="1"/>
        </xdr:cNvSpPr>
      </xdr:nvSpPr>
      <xdr:spPr bwMode="auto">
        <a:xfrm>
          <a:off x="3381375" y="3409950"/>
          <a:ext cx="666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18</xdr:row>
      <xdr:rowOff>114300</xdr:rowOff>
    </xdr:from>
    <xdr:to>
      <xdr:col>5</xdr:col>
      <xdr:colOff>638175</xdr:colOff>
      <xdr:row>19</xdr:row>
      <xdr:rowOff>38100</xdr:rowOff>
    </xdr:to>
    <xdr:sp macro="" textlink="">
      <xdr:nvSpPr>
        <xdr:cNvPr id="8995" name="Line 803"/>
        <xdr:cNvSpPr>
          <a:spLocks noChangeShapeType="1"/>
        </xdr:cNvSpPr>
      </xdr:nvSpPr>
      <xdr:spPr bwMode="auto">
        <a:xfrm flipH="1">
          <a:off x="3286125" y="3409950"/>
          <a:ext cx="857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19</xdr:row>
      <xdr:rowOff>104775</xdr:rowOff>
    </xdr:to>
    <xdr:sp macro="" textlink="">
      <xdr:nvSpPr>
        <xdr:cNvPr id="8996" name="Line 804"/>
        <xdr:cNvSpPr>
          <a:spLocks noChangeShapeType="1"/>
        </xdr:cNvSpPr>
      </xdr:nvSpPr>
      <xdr:spPr bwMode="auto">
        <a:xfrm>
          <a:off x="3257550" y="35718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19</xdr:row>
      <xdr:rowOff>47625</xdr:rowOff>
    </xdr:from>
    <xdr:to>
      <xdr:col>5</xdr:col>
      <xdr:colOff>590550</xdr:colOff>
      <xdr:row>19</xdr:row>
      <xdr:rowOff>104775</xdr:rowOff>
    </xdr:to>
    <xdr:sp macro="" textlink="">
      <xdr:nvSpPr>
        <xdr:cNvPr id="8997" name="Oval 805"/>
        <xdr:cNvSpPr>
          <a:spLocks noChangeArrowheads="1"/>
        </xdr:cNvSpPr>
      </xdr:nvSpPr>
      <xdr:spPr bwMode="auto">
        <a:xfrm>
          <a:off x="3276600" y="3514725"/>
          <a:ext cx="47625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19</xdr:row>
      <xdr:rowOff>47625</xdr:rowOff>
    </xdr:from>
    <xdr:to>
      <xdr:col>6</xdr:col>
      <xdr:colOff>104775</xdr:colOff>
      <xdr:row>19</xdr:row>
      <xdr:rowOff>104775</xdr:rowOff>
    </xdr:to>
    <xdr:sp macro="" textlink="">
      <xdr:nvSpPr>
        <xdr:cNvPr id="8998" name="Oval 806"/>
        <xdr:cNvSpPr>
          <a:spLocks noChangeArrowheads="1"/>
        </xdr:cNvSpPr>
      </xdr:nvSpPr>
      <xdr:spPr bwMode="auto">
        <a:xfrm>
          <a:off x="3429000" y="3514725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19</xdr:row>
      <xdr:rowOff>47625</xdr:rowOff>
    </xdr:from>
    <xdr:to>
      <xdr:col>6</xdr:col>
      <xdr:colOff>28575</xdr:colOff>
      <xdr:row>19</xdr:row>
      <xdr:rowOff>104775</xdr:rowOff>
    </xdr:to>
    <xdr:sp macro="" textlink="">
      <xdr:nvSpPr>
        <xdr:cNvPr id="8999" name="Oval 807"/>
        <xdr:cNvSpPr>
          <a:spLocks noChangeArrowheads="1"/>
        </xdr:cNvSpPr>
      </xdr:nvSpPr>
      <xdr:spPr bwMode="auto">
        <a:xfrm>
          <a:off x="3352800" y="3514725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638175</xdr:colOff>
      <xdr:row>20</xdr:row>
      <xdr:rowOff>0</xdr:rowOff>
    </xdr:from>
    <xdr:to>
      <xdr:col>5</xdr:col>
      <xdr:colOff>638175</xdr:colOff>
      <xdr:row>22</xdr:row>
      <xdr:rowOff>76200</xdr:rowOff>
    </xdr:to>
    <xdr:sp macro="" textlink="">
      <xdr:nvSpPr>
        <xdr:cNvPr id="9000" name="Line 808"/>
        <xdr:cNvSpPr>
          <a:spLocks noChangeShapeType="1"/>
        </xdr:cNvSpPr>
      </xdr:nvSpPr>
      <xdr:spPr bwMode="auto">
        <a:xfrm flipV="1">
          <a:off x="3371850" y="3648075"/>
          <a:ext cx="0" cy="4095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9012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18</xdr:row>
      <xdr:rowOff>133350</xdr:rowOff>
    </xdr:from>
    <xdr:to>
      <xdr:col>1</xdr:col>
      <xdr:colOff>114300</xdr:colOff>
      <xdr:row>22</xdr:row>
      <xdr:rowOff>85725</xdr:rowOff>
    </xdr:to>
    <xdr:grpSp>
      <xdr:nvGrpSpPr>
        <xdr:cNvPr id="9013" name="Group 821"/>
        <xdr:cNvGrpSpPr>
          <a:grpSpLocks/>
        </xdr:cNvGrpSpPr>
      </xdr:nvGrpSpPr>
      <xdr:grpSpPr bwMode="auto">
        <a:xfrm>
          <a:off x="295275" y="3429000"/>
          <a:ext cx="228600" cy="638175"/>
          <a:chOff x="-3930" y="-54904"/>
          <a:chExt cx="7872" cy="603"/>
        </a:xfrm>
      </xdr:grpSpPr>
      <xdr:grpSp>
        <xdr:nvGrpSpPr>
          <xdr:cNvPr id="9014" name="Group 822"/>
          <xdr:cNvGrpSpPr>
            <a:grpSpLocks/>
          </xdr:cNvGrpSpPr>
        </xdr:nvGrpSpPr>
        <xdr:grpSpPr bwMode="auto">
          <a:xfrm>
            <a:off x="-3930" y="-54904"/>
            <a:ext cx="7872" cy="207"/>
            <a:chOff x="620000" y="7200000"/>
            <a:chExt cx="480000" cy="460000"/>
          </a:xfrm>
        </xdr:grpSpPr>
        <xdr:grpSp>
          <xdr:nvGrpSpPr>
            <xdr:cNvPr id="9015" name="Group 823"/>
            <xdr:cNvGrpSpPr>
              <a:grpSpLocks/>
            </xdr:cNvGrpSpPr>
          </xdr:nvGrpSpPr>
          <xdr:grpSpPr bwMode="auto">
            <a:xfrm>
              <a:off x="620000" y="7380000"/>
              <a:ext cx="480000" cy="280000"/>
              <a:chOff x="620000" y="7380000"/>
              <a:chExt cx="480000" cy="280000"/>
            </a:xfrm>
          </xdr:grpSpPr>
          <xdr:sp macro="" textlink="">
            <xdr:nvSpPr>
              <xdr:cNvPr id="9016" name="Rectangle 824"/>
              <xdr:cNvSpPr>
                <a:spLocks noChangeArrowheads="1"/>
              </xdr:cNvSpPr>
            </xdr:nvSpPr>
            <xdr:spPr bwMode="auto">
              <a:xfrm>
                <a:off x="620000" y="7380000"/>
                <a:ext cx="480000" cy="280000"/>
              </a:xfrm>
              <a:prstGeom prst="rect">
                <a:avLst/>
              </a:prstGeom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9017" name="Line 825"/>
              <xdr:cNvSpPr>
                <a:spLocks noChangeShapeType="1"/>
              </xdr:cNvSpPr>
            </xdr:nvSpPr>
            <xdr:spPr bwMode="auto">
              <a:xfrm>
                <a:off x="620000" y="7380000"/>
                <a:ext cx="48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9018" name="Line 826"/>
            <xdr:cNvSpPr>
              <a:spLocks noChangeShapeType="1"/>
            </xdr:cNvSpPr>
          </xdr:nvSpPr>
          <xdr:spPr bwMode="auto">
            <a:xfrm>
              <a:off x="860000" y="7200000"/>
              <a:ext cx="160000" cy="1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019" name="Line 827"/>
            <xdr:cNvSpPr>
              <a:spLocks noChangeShapeType="1"/>
            </xdr:cNvSpPr>
          </xdr:nvSpPr>
          <xdr:spPr bwMode="auto">
            <a:xfrm flipH="1">
              <a:off x="700000" y="7200000"/>
              <a:ext cx="160000" cy="1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9020" name="Line 828"/>
          <xdr:cNvSpPr>
            <a:spLocks noChangeShapeType="1"/>
          </xdr:cNvSpPr>
        </xdr:nvSpPr>
        <xdr:spPr bwMode="auto">
          <a:xfrm flipV="1">
            <a:off x="6" y="-54787"/>
            <a:ext cx="0" cy="486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9023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23</xdr:row>
      <xdr:rowOff>85725</xdr:rowOff>
    </xdr:from>
    <xdr:to>
      <xdr:col>6</xdr:col>
      <xdr:colOff>104775</xdr:colOff>
      <xdr:row>29</xdr:row>
      <xdr:rowOff>47625</xdr:rowOff>
    </xdr:to>
    <xdr:graphicFrame macro="">
      <xdr:nvGraphicFramePr>
        <xdr:cNvPr id="9011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180975</xdr:colOff>
      <xdr:row>16</xdr:row>
      <xdr:rowOff>47625</xdr:rowOff>
    </xdr:from>
    <xdr:to>
      <xdr:col>3</xdr:col>
      <xdr:colOff>571500</xdr:colOff>
      <xdr:row>19</xdr:row>
      <xdr:rowOff>85725</xdr:rowOff>
    </xdr:to>
    <xdr:grpSp>
      <xdr:nvGrpSpPr>
        <xdr:cNvPr id="9075" name="Group 883"/>
        <xdr:cNvGrpSpPr>
          <a:grpSpLocks/>
        </xdr:cNvGrpSpPr>
      </xdr:nvGrpSpPr>
      <xdr:grpSpPr bwMode="auto">
        <a:xfrm>
          <a:off x="1752600" y="3019425"/>
          <a:ext cx="390525" cy="533400"/>
          <a:chOff x="-9810" y="-31"/>
          <a:chExt cx="13448" cy="560"/>
        </a:xfrm>
      </xdr:grpSpPr>
      <xdr:sp macro="" textlink="">
        <xdr:nvSpPr>
          <xdr:cNvPr id="9076" name="Arc 884"/>
          <xdr:cNvSpPr>
            <a:spLocks/>
          </xdr:cNvSpPr>
        </xdr:nvSpPr>
        <xdr:spPr bwMode="auto">
          <a:xfrm>
            <a:off x="-9810" y="-31"/>
            <a:ext cx="13448" cy="27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77" name="Arc 885"/>
          <xdr:cNvSpPr>
            <a:spLocks/>
          </xdr:cNvSpPr>
        </xdr:nvSpPr>
        <xdr:spPr bwMode="auto">
          <a:xfrm flipV="1">
            <a:off x="-5874" y="239"/>
            <a:ext cx="9512" cy="29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78" name="Line 886"/>
          <xdr:cNvSpPr>
            <a:spLocks noChangeShapeType="1"/>
          </xdr:cNvSpPr>
        </xdr:nvSpPr>
        <xdr:spPr bwMode="auto">
          <a:xfrm flipH="1" flipV="1">
            <a:off x="-9810" y="529"/>
            <a:ext cx="3936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stealth" w="lg" len="lg"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1058" name="Rectangle 818"/>
        <xdr:cNvSpPr>
          <a:spLocks noChangeArrowheads="1"/>
        </xdr:cNvSpPr>
      </xdr:nvSpPr>
      <xdr:spPr bwMode="auto">
        <a:xfrm>
          <a:off x="409575" y="3219450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1034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20</xdr:row>
      <xdr:rowOff>161925</xdr:rowOff>
    </xdr:to>
    <xdr:sp macro="" textlink="">
      <xdr:nvSpPr>
        <xdr:cNvPr id="11040" name="Rectangle 800"/>
        <xdr:cNvSpPr>
          <a:spLocks noChangeArrowheads="1"/>
        </xdr:cNvSpPr>
      </xdr:nvSpPr>
      <xdr:spPr bwMode="auto">
        <a:xfrm>
          <a:off x="3257550" y="3619500"/>
          <a:ext cx="238125" cy="238125"/>
        </a:xfrm>
        <a:prstGeom prst="rect">
          <a:avLst/>
        </a:prstGeom>
        <a:pattFill prst="pct20">
          <a:fgClr>
            <a:srgbClr val="000000"/>
          </a:fgClr>
          <a:bgClr>
            <a:srgbClr val="C0C0C0"/>
          </a:bgClr>
        </a:pattFill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38100</xdr:rowOff>
    </xdr:from>
    <xdr:to>
      <xdr:col>6</xdr:col>
      <xdr:colOff>114300</xdr:colOff>
      <xdr:row>19</xdr:row>
      <xdr:rowOff>38100</xdr:rowOff>
    </xdr:to>
    <xdr:sp macro="" textlink="">
      <xdr:nvSpPr>
        <xdr:cNvPr id="11041" name="Line 801"/>
        <xdr:cNvSpPr>
          <a:spLocks noChangeShapeType="1"/>
        </xdr:cNvSpPr>
      </xdr:nvSpPr>
      <xdr:spPr bwMode="auto">
        <a:xfrm>
          <a:off x="3257550" y="35528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114300</xdr:rowOff>
    </xdr:from>
    <xdr:to>
      <xdr:col>6</xdr:col>
      <xdr:colOff>66675</xdr:colOff>
      <xdr:row>19</xdr:row>
      <xdr:rowOff>38100</xdr:rowOff>
    </xdr:to>
    <xdr:sp macro="" textlink="">
      <xdr:nvSpPr>
        <xdr:cNvPr id="11042" name="Line 802"/>
        <xdr:cNvSpPr>
          <a:spLocks noChangeShapeType="1"/>
        </xdr:cNvSpPr>
      </xdr:nvSpPr>
      <xdr:spPr bwMode="auto">
        <a:xfrm>
          <a:off x="3381375" y="3457575"/>
          <a:ext cx="666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18</xdr:row>
      <xdr:rowOff>114300</xdr:rowOff>
    </xdr:from>
    <xdr:to>
      <xdr:col>5</xdr:col>
      <xdr:colOff>638175</xdr:colOff>
      <xdr:row>19</xdr:row>
      <xdr:rowOff>38100</xdr:rowOff>
    </xdr:to>
    <xdr:sp macro="" textlink="">
      <xdr:nvSpPr>
        <xdr:cNvPr id="11043" name="Line 803"/>
        <xdr:cNvSpPr>
          <a:spLocks noChangeShapeType="1"/>
        </xdr:cNvSpPr>
      </xdr:nvSpPr>
      <xdr:spPr bwMode="auto">
        <a:xfrm flipH="1">
          <a:off x="3286125" y="3457575"/>
          <a:ext cx="857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19</xdr:row>
      <xdr:rowOff>104775</xdr:rowOff>
    </xdr:to>
    <xdr:sp macro="" textlink="">
      <xdr:nvSpPr>
        <xdr:cNvPr id="11044" name="Line 804"/>
        <xdr:cNvSpPr>
          <a:spLocks noChangeShapeType="1"/>
        </xdr:cNvSpPr>
      </xdr:nvSpPr>
      <xdr:spPr bwMode="auto">
        <a:xfrm>
          <a:off x="3257550" y="36195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19</xdr:row>
      <xdr:rowOff>47625</xdr:rowOff>
    </xdr:from>
    <xdr:to>
      <xdr:col>5</xdr:col>
      <xdr:colOff>590550</xdr:colOff>
      <xdr:row>19</xdr:row>
      <xdr:rowOff>104775</xdr:rowOff>
    </xdr:to>
    <xdr:sp macro="" textlink="">
      <xdr:nvSpPr>
        <xdr:cNvPr id="11045" name="Oval 805"/>
        <xdr:cNvSpPr>
          <a:spLocks noChangeArrowheads="1"/>
        </xdr:cNvSpPr>
      </xdr:nvSpPr>
      <xdr:spPr bwMode="auto">
        <a:xfrm>
          <a:off x="3276600" y="3562350"/>
          <a:ext cx="47625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19</xdr:row>
      <xdr:rowOff>47625</xdr:rowOff>
    </xdr:from>
    <xdr:to>
      <xdr:col>6</xdr:col>
      <xdr:colOff>104775</xdr:colOff>
      <xdr:row>19</xdr:row>
      <xdr:rowOff>104775</xdr:rowOff>
    </xdr:to>
    <xdr:sp macro="" textlink="">
      <xdr:nvSpPr>
        <xdr:cNvPr id="11046" name="Oval 806"/>
        <xdr:cNvSpPr>
          <a:spLocks noChangeArrowheads="1"/>
        </xdr:cNvSpPr>
      </xdr:nvSpPr>
      <xdr:spPr bwMode="auto">
        <a:xfrm>
          <a:off x="3429000" y="3562350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19</xdr:row>
      <xdr:rowOff>47625</xdr:rowOff>
    </xdr:from>
    <xdr:to>
      <xdr:col>6</xdr:col>
      <xdr:colOff>28575</xdr:colOff>
      <xdr:row>19</xdr:row>
      <xdr:rowOff>104775</xdr:rowOff>
    </xdr:to>
    <xdr:sp macro="" textlink="">
      <xdr:nvSpPr>
        <xdr:cNvPr id="11047" name="Oval 807"/>
        <xdr:cNvSpPr>
          <a:spLocks noChangeArrowheads="1"/>
        </xdr:cNvSpPr>
      </xdr:nvSpPr>
      <xdr:spPr bwMode="auto">
        <a:xfrm>
          <a:off x="3352800" y="3562350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638175</xdr:colOff>
      <xdr:row>20</xdr:row>
      <xdr:rowOff>0</xdr:rowOff>
    </xdr:from>
    <xdr:to>
      <xdr:col>5</xdr:col>
      <xdr:colOff>638175</xdr:colOff>
      <xdr:row>22</xdr:row>
      <xdr:rowOff>76200</xdr:rowOff>
    </xdr:to>
    <xdr:sp macro="" textlink="">
      <xdr:nvSpPr>
        <xdr:cNvPr id="11048" name="Line 808"/>
        <xdr:cNvSpPr>
          <a:spLocks noChangeShapeType="1"/>
        </xdr:cNvSpPr>
      </xdr:nvSpPr>
      <xdr:spPr bwMode="auto">
        <a:xfrm flipV="1">
          <a:off x="3371850" y="3695700"/>
          <a:ext cx="0" cy="4095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1060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18</xdr:row>
      <xdr:rowOff>123825</xdr:rowOff>
    </xdr:from>
    <xdr:to>
      <xdr:col>1</xdr:col>
      <xdr:colOff>114300</xdr:colOff>
      <xdr:row>22</xdr:row>
      <xdr:rowOff>76200</xdr:rowOff>
    </xdr:to>
    <xdr:grpSp>
      <xdr:nvGrpSpPr>
        <xdr:cNvPr id="11061" name="Group 821"/>
        <xdr:cNvGrpSpPr>
          <a:grpSpLocks/>
        </xdr:cNvGrpSpPr>
      </xdr:nvGrpSpPr>
      <xdr:grpSpPr bwMode="auto">
        <a:xfrm>
          <a:off x="285750" y="3467100"/>
          <a:ext cx="238125" cy="638175"/>
          <a:chOff x="-4258" y="-55336"/>
          <a:chExt cx="8200" cy="603"/>
        </a:xfrm>
      </xdr:grpSpPr>
      <xdr:grpSp>
        <xdr:nvGrpSpPr>
          <xdr:cNvPr id="11062" name="Group 822"/>
          <xdr:cNvGrpSpPr>
            <a:grpSpLocks/>
          </xdr:cNvGrpSpPr>
        </xdr:nvGrpSpPr>
        <xdr:grpSpPr bwMode="auto">
          <a:xfrm>
            <a:off x="-4258" y="-55336"/>
            <a:ext cx="8200" cy="216"/>
            <a:chOff x="600000" y="7280000"/>
            <a:chExt cx="500000" cy="480000"/>
          </a:xfrm>
        </xdr:grpSpPr>
        <xdr:grpSp>
          <xdr:nvGrpSpPr>
            <xdr:cNvPr id="11063" name="Group 823"/>
            <xdr:cNvGrpSpPr>
              <a:grpSpLocks/>
            </xdr:cNvGrpSpPr>
          </xdr:nvGrpSpPr>
          <xdr:grpSpPr bwMode="auto">
            <a:xfrm>
              <a:off x="600000" y="7480000"/>
              <a:ext cx="500000" cy="280000"/>
              <a:chOff x="600000" y="7480000"/>
              <a:chExt cx="500000" cy="280000"/>
            </a:xfrm>
          </xdr:grpSpPr>
          <xdr:sp macro="" textlink="">
            <xdr:nvSpPr>
              <xdr:cNvPr id="11064" name="Rectangle 824"/>
              <xdr:cNvSpPr>
                <a:spLocks noChangeArrowheads="1"/>
              </xdr:cNvSpPr>
            </xdr:nvSpPr>
            <xdr:spPr bwMode="auto">
              <a:xfrm>
                <a:off x="600000" y="7480000"/>
                <a:ext cx="500000" cy="280000"/>
              </a:xfrm>
              <a:prstGeom prst="rect">
                <a:avLst/>
              </a:prstGeom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11065" name="Line 825"/>
              <xdr:cNvSpPr>
                <a:spLocks noChangeShapeType="1"/>
              </xdr:cNvSpPr>
            </xdr:nvSpPr>
            <xdr:spPr bwMode="auto">
              <a:xfrm>
                <a:off x="600000" y="7480000"/>
                <a:ext cx="5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1066" name="Line 826"/>
            <xdr:cNvSpPr>
              <a:spLocks noChangeShapeType="1"/>
            </xdr:cNvSpPr>
          </xdr:nvSpPr>
          <xdr:spPr bwMode="auto">
            <a:xfrm>
              <a:off x="860000" y="72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067" name="Line 827"/>
            <xdr:cNvSpPr>
              <a:spLocks noChangeShapeType="1"/>
            </xdr:cNvSpPr>
          </xdr:nvSpPr>
          <xdr:spPr bwMode="auto">
            <a:xfrm flipH="1">
              <a:off x="680000" y="72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1068" name="Line 828"/>
          <xdr:cNvSpPr>
            <a:spLocks noChangeShapeType="1"/>
          </xdr:cNvSpPr>
        </xdr:nvSpPr>
        <xdr:spPr bwMode="auto">
          <a:xfrm flipV="1">
            <a:off x="6" y="-55219"/>
            <a:ext cx="0" cy="486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1071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23</xdr:row>
      <xdr:rowOff>85725</xdr:rowOff>
    </xdr:from>
    <xdr:to>
      <xdr:col>6</xdr:col>
      <xdr:colOff>104775</xdr:colOff>
      <xdr:row>29</xdr:row>
      <xdr:rowOff>47625</xdr:rowOff>
    </xdr:to>
    <xdr:graphicFrame macro="">
      <xdr:nvGraphicFramePr>
        <xdr:cNvPr id="11059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8433" name="Rectangle 1"/>
        <xdr:cNvSpPr>
          <a:spLocks noChangeArrowheads="1"/>
        </xdr:cNvSpPr>
      </xdr:nvSpPr>
      <xdr:spPr bwMode="auto">
        <a:xfrm>
          <a:off x="409575" y="3219450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8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20</xdr:row>
      <xdr:rowOff>161925</xdr:rowOff>
    </xdr:to>
    <xdr:sp macro="" textlink="">
      <xdr:nvSpPr>
        <xdr:cNvPr id="18435" name="Rectangle 3"/>
        <xdr:cNvSpPr>
          <a:spLocks noChangeArrowheads="1"/>
        </xdr:cNvSpPr>
      </xdr:nvSpPr>
      <xdr:spPr bwMode="auto">
        <a:xfrm>
          <a:off x="3257550" y="3619500"/>
          <a:ext cx="238125" cy="238125"/>
        </a:xfrm>
        <a:prstGeom prst="rect">
          <a:avLst/>
        </a:prstGeom>
        <a:pattFill prst="pct20">
          <a:fgClr>
            <a:srgbClr val="000000"/>
          </a:fgClr>
          <a:bgClr>
            <a:srgbClr val="C0C0C0"/>
          </a:bgClr>
        </a:pattFill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38100</xdr:rowOff>
    </xdr:from>
    <xdr:to>
      <xdr:col>6</xdr:col>
      <xdr:colOff>114300</xdr:colOff>
      <xdr:row>19</xdr:row>
      <xdr:rowOff>38100</xdr:rowOff>
    </xdr:to>
    <xdr:sp macro="" textlink="">
      <xdr:nvSpPr>
        <xdr:cNvPr id="18436" name="Line 4"/>
        <xdr:cNvSpPr>
          <a:spLocks noChangeShapeType="1"/>
        </xdr:cNvSpPr>
      </xdr:nvSpPr>
      <xdr:spPr bwMode="auto">
        <a:xfrm>
          <a:off x="3257550" y="35528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114300</xdr:rowOff>
    </xdr:from>
    <xdr:to>
      <xdr:col>6</xdr:col>
      <xdr:colOff>66675</xdr:colOff>
      <xdr:row>19</xdr:row>
      <xdr:rowOff>38100</xdr:rowOff>
    </xdr:to>
    <xdr:sp macro="" textlink="">
      <xdr:nvSpPr>
        <xdr:cNvPr id="18437" name="Line 5"/>
        <xdr:cNvSpPr>
          <a:spLocks noChangeShapeType="1"/>
        </xdr:cNvSpPr>
      </xdr:nvSpPr>
      <xdr:spPr bwMode="auto">
        <a:xfrm>
          <a:off x="3381375" y="3457575"/>
          <a:ext cx="666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18</xdr:row>
      <xdr:rowOff>114300</xdr:rowOff>
    </xdr:from>
    <xdr:to>
      <xdr:col>5</xdr:col>
      <xdr:colOff>638175</xdr:colOff>
      <xdr:row>19</xdr:row>
      <xdr:rowOff>38100</xdr:rowOff>
    </xdr:to>
    <xdr:sp macro="" textlink="">
      <xdr:nvSpPr>
        <xdr:cNvPr id="18438" name="Line 6"/>
        <xdr:cNvSpPr>
          <a:spLocks noChangeShapeType="1"/>
        </xdr:cNvSpPr>
      </xdr:nvSpPr>
      <xdr:spPr bwMode="auto">
        <a:xfrm flipH="1">
          <a:off x="3286125" y="3457575"/>
          <a:ext cx="857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19</xdr:row>
      <xdr:rowOff>104775</xdr:rowOff>
    </xdr:to>
    <xdr:sp macro="" textlink="">
      <xdr:nvSpPr>
        <xdr:cNvPr id="18439" name="Line 7"/>
        <xdr:cNvSpPr>
          <a:spLocks noChangeShapeType="1"/>
        </xdr:cNvSpPr>
      </xdr:nvSpPr>
      <xdr:spPr bwMode="auto">
        <a:xfrm>
          <a:off x="3257550" y="36195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19</xdr:row>
      <xdr:rowOff>47625</xdr:rowOff>
    </xdr:from>
    <xdr:to>
      <xdr:col>5</xdr:col>
      <xdr:colOff>590550</xdr:colOff>
      <xdr:row>19</xdr:row>
      <xdr:rowOff>104775</xdr:rowOff>
    </xdr:to>
    <xdr:sp macro="" textlink="">
      <xdr:nvSpPr>
        <xdr:cNvPr id="18440" name="Oval 8"/>
        <xdr:cNvSpPr>
          <a:spLocks noChangeArrowheads="1"/>
        </xdr:cNvSpPr>
      </xdr:nvSpPr>
      <xdr:spPr bwMode="auto">
        <a:xfrm>
          <a:off x="3276600" y="3562350"/>
          <a:ext cx="47625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19</xdr:row>
      <xdr:rowOff>47625</xdr:rowOff>
    </xdr:from>
    <xdr:to>
      <xdr:col>6</xdr:col>
      <xdr:colOff>104775</xdr:colOff>
      <xdr:row>19</xdr:row>
      <xdr:rowOff>104775</xdr:rowOff>
    </xdr:to>
    <xdr:sp macro="" textlink="">
      <xdr:nvSpPr>
        <xdr:cNvPr id="18441" name="Oval 9"/>
        <xdr:cNvSpPr>
          <a:spLocks noChangeArrowheads="1"/>
        </xdr:cNvSpPr>
      </xdr:nvSpPr>
      <xdr:spPr bwMode="auto">
        <a:xfrm>
          <a:off x="3429000" y="3562350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19</xdr:row>
      <xdr:rowOff>47625</xdr:rowOff>
    </xdr:from>
    <xdr:to>
      <xdr:col>6</xdr:col>
      <xdr:colOff>28575</xdr:colOff>
      <xdr:row>19</xdr:row>
      <xdr:rowOff>104775</xdr:rowOff>
    </xdr:to>
    <xdr:sp macro="" textlink="">
      <xdr:nvSpPr>
        <xdr:cNvPr id="18442" name="Oval 10"/>
        <xdr:cNvSpPr>
          <a:spLocks noChangeArrowheads="1"/>
        </xdr:cNvSpPr>
      </xdr:nvSpPr>
      <xdr:spPr bwMode="auto">
        <a:xfrm>
          <a:off x="3352800" y="3562350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638175</xdr:colOff>
      <xdr:row>20</xdr:row>
      <xdr:rowOff>0</xdr:rowOff>
    </xdr:from>
    <xdr:to>
      <xdr:col>5</xdr:col>
      <xdr:colOff>638175</xdr:colOff>
      <xdr:row>22</xdr:row>
      <xdr:rowOff>76200</xdr:rowOff>
    </xdr:to>
    <xdr:sp macro="" textlink="">
      <xdr:nvSpPr>
        <xdr:cNvPr id="18443" name="Line 11"/>
        <xdr:cNvSpPr>
          <a:spLocks noChangeShapeType="1"/>
        </xdr:cNvSpPr>
      </xdr:nvSpPr>
      <xdr:spPr bwMode="auto">
        <a:xfrm flipV="1">
          <a:off x="3371850" y="3695700"/>
          <a:ext cx="0" cy="4095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84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18</xdr:row>
      <xdr:rowOff>123825</xdr:rowOff>
    </xdr:from>
    <xdr:to>
      <xdr:col>1</xdr:col>
      <xdr:colOff>114300</xdr:colOff>
      <xdr:row>22</xdr:row>
      <xdr:rowOff>76200</xdr:rowOff>
    </xdr:to>
    <xdr:grpSp>
      <xdr:nvGrpSpPr>
        <xdr:cNvPr id="18445" name="Group 13"/>
        <xdr:cNvGrpSpPr>
          <a:grpSpLocks/>
        </xdr:cNvGrpSpPr>
      </xdr:nvGrpSpPr>
      <xdr:grpSpPr bwMode="auto">
        <a:xfrm>
          <a:off x="285750" y="3467100"/>
          <a:ext cx="238125" cy="638175"/>
          <a:chOff x="-4258" y="-55336"/>
          <a:chExt cx="8200" cy="603"/>
        </a:xfrm>
      </xdr:grpSpPr>
      <xdr:grpSp>
        <xdr:nvGrpSpPr>
          <xdr:cNvPr id="18446" name="Group 14"/>
          <xdr:cNvGrpSpPr>
            <a:grpSpLocks/>
          </xdr:cNvGrpSpPr>
        </xdr:nvGrpSpPr>
        <xdr:grpSpPr bwMode="auto">
          <a:xfrm>
            <a:off x="-4258" y="-55336"/>
            <a:ext cx="8200" cy="216"/>
            <a:chOff x="600000" y="7280000"/>
            <a:chExt cx="500000" cy="480000"/>
          </a:xfrm>
        </xdr:grpSpPr>
        <xdr:grpSp>
          <xdr:nvGrpSpPr>
            <xdr:cNvPr id="18447" name="Group 15"/>
            <xdr:cNvGrpSpPr>
              <a:grpSpLocks/>
            </xdr:cNvGrpSpPr>
          </xdr:nvGrpSpPr>
          <xdr:grpSpPr bwMode="auto">
            <a:xfrm>
              <a:off x="600000" y="7480000"/>
              <a:ext cx="500000" cy="280000"/>
              <a:chOff x="600000" y="7480000"/>
              <a:chExt cx="500000" cy="280000"/>
            </a:xfrm>
          </xdr:grpSpPr>
          <xdr:sp macro="" textlink="">
            <xdr:nvSpPr>
              <xdr:cNvPr id="18448" name="Rectangle 16"/>
              <xdr:cNvSpPr>
                <a:spLocks noChangeArrowheads="1"/>
              </xdr:cNvSpPr>
            </xdr:nvSpPr>
            <xdr:spPr bwMode="auto">
              <a:xfrm>
                <a:off x="600000" y="7480000"/>
                <a:ext cx="500000" cy="280000"/>
              </a:xfrm>
              <a:prstGeom prst="rect">
                <a:avLst/>
              </a:prstGeom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18449" name="Line 17"/>
              <xdr:cNvSpPr>
                <a:spLocks noChangeShapeType="1"/>
              </xdr:cNvSpPr>
            </xdr:nvSpPr>
            <xdr:spPr bwMode="auto">
              <a:xfrm>
                <a:off x="600000" y="7480000"/>
                <a:ext cx="5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8450" name="Line 18"/>
            <xdr:cNvSpPr>
              <a:spLocks noChangeShapeType="1"/>
            </xdr:cNvSpPr>
          </xdr:nvSpPr>
          <xdr:spPr bwMode="auto">
            <a:xfrm>
              <a:off x="860000" y="72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451" name="Line 19"/>
            <xdr:cNvSpPr>
              <a:spLocks noChangeShapeType="1"/>
            </xdr:cNvSpPr>
          </xdr:nvSpPr>
          <xdr:spPr bwMode="auto">
            <a:xfrm flipH="1">
              <a:off x="680000" y="728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8452" name="Line 20"/>
          <xdr:cNvSpPr>
            <a:spLocks noChangeShapeType="1"/>
          </xdr:cNvSpPr>
        </xdr:nvSpPr>
        <xdr:spPr bwMode="auto">
          <a:xfrm flipV="1">
            <a:off x="6" y="-55219"/>
            <a:ext cx="0" cy="486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845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23</xdr:row>
      <xdr:rowOff>85725</xdr:rowOff>
    </xdr:from>
    <xdr:to>
      <xdr:col>6</xdr:col>
      <xdr:colOff>104775</xdr:colOff>
      <xdr:row>29</xdr:row>
      <xdr:rowOff>47625</xdr:rowOff>
    </xdr:to>
    <xdr:graphicFrame macro="">
      <xdr:nvGraphicFramePr>
        <xdr:cNvPr id="1845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3106" name="Rectangle 818"/>
        <xdr:cNvSpPr>
          <a:spLocks noChangeArrowheads="1"/>
        </xdr:cNvSpPr>
      </xdr:nvSpPr>
      <xdr:spPr bwMode="auto">
        <a:xfrm>
          <a:off x="409575" y="3114675"/>
          <a:ext cx="3457575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3082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20</xdr:row>
      <xdr:rowOff>161925</xdr:rowOff>
    </xdr:to>
    <xdr:sp macro="" textlink="">
      <xdr:nvSpPr>
        <xdr:cNvPr id="13088" name="Rectangle 800"/>
        <xdr:cNvSpPr>
          <a:spLocks noChangeArrowheads="1"/>
        </xdr:cNvSpPr>
      </xdr:nvSpPr>
      <xdr:spPr bwMode="auto">
        <a:xfrm>
          <a:off x="3743325" y="3514725"/>
          <a:ext cx="238125" cy="238125"/>
        </a:xfrm>
        <a:prstGeom prst="rect">
          <a:avLst/>
        </a:prstGeom>
        <a:pattFill prst="pct20">
          <a:fgClr>
            <a:srgbClr val="000000"/>
          </a:fgClr>
          <a:bgClr>
            <a:srgbClr val="C0C0C0"/>
          </a:bgClr>
        </a:pattFill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38100</xdr:rowOff>
    </xdr:from>
    <xdr:to>
      <xdr:col>6</xdr:col>
      <xdr:colOff>114300</xdr:colOff>
      <xdr:row>19</xdr:row>
      <xdr:rowOff>38100</xdr:rowOff>
    </xdr:to>
    <xdr:sp macro="" textlink="">
      <xdr:nvSpPr>
        <xdr:cNvPr id="13089" name="Line 801"/>
        <xdr:cNvSpPr>
          <a:spLocks noChangeShapeType="1"/>
        </xdr:cNvSpPr>
      </xdr:nvSpPr>
      <xdr:spPr bwMode="auto">
        <a:xfrm>
          <a:off x="3743325" y="344805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114300</xdr:rowOff>
    </xdr:from>
    <xdr:to>
      <xdr:col>6</xdr:col>
      <xdr:colOff>66675</xdr:colOff>
      <xdr:row>19</xdr:row>
      <xdr:rowOff>38100</xdr:rowOff>
    </xdr:to>
    <xdr:sp macro="" textlink="">
      <xdr:nvSpPr>
        <xdr:cNvPr id="13090" name="Line 802"/>
        <xdr:cNvSpPr>
          <a:spLocks noChangeShapeType="1"/>
        </xdr:cNvSpPr>
      </xdr:nvSpPr>
      <xdr:spPr bwMode="auto">
        <a:xfrm>
          <a:off x="3867150" y="3352800"/>
          <a:ext cx="666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18</xdr:row>
      <xdr:rowOff>114300</xdr:rowOff>
    </xdr:from>
    <xdr:to>
      <xdr:col>5</xdr:col>
      <xdr:colOff>638175</xdr:colOff>
      <xdr:row>19</xdr:row>
      <xdr:rowOff>38100</xdr:rowOff>
    </xdr:to>
    <xdr:sp macro="" textlink="">
      <xdr:nvSpPr>
        <xdr:cNvPr id="13091" name="Line 803"/>
        <xdr:cNvSpPr>
          <a:spLocks noChangeShapeType="1"/>
        </xdr:cNvSpPr>
      </xdr:nvSpPr>
      <xdr:spPr bwMode="auto">
        <a:xfrm flipH="1">
          <a:off x="3771900" y="3352800"/>
          <a:ext cx="857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523875</xdr:colOff>
      <xdr:row>19</xdr:row>
      <xdr:rowOff>104775</xdr:rowOff>
    </xdr:from>
    <xdr:to>
      <xdr:col>6</xdr:col>
      <xdr:colOff>114300</xdr:colOff>
      <xdr:row>19</xdr:row>
      <xdr:rowOff>104775</xdr:rowOff>
    </xdr:to>
    <xdr:sp macro="" textlink="">
      <xdr:nvSpPr>
        <xdr:cNvPr id="13092" name="Line 804"/>
        <xdr:cNvSpPr>
          <a:spLocks noChangeShapeType="1"/>
        </xdr:cNvSpPr>
      </xdr:nvSpPr>
      <xdr:spPr bwMode="auto">
        <a:xfrm>
          <a:off x="3743325" y="351472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542925</xdr:colOff>
      <xdr:row>19</xdr:row>
      <xdr:rowOff>47625</xdr:rowOff>
    </xdr:from>
    <xdr:to>
      <xdr:col>5</xdr:col>
      <xdr:colOff>590550</xdr:colOff>
      <xdr:row>19</xdr:row>
      <xdr:rowOff>104775</xdr:rowOff>
    </xdr:to>
    <xdr:sp macro="" textlink="">
      <xdr:nvSpPr>
        <xdr:cNvPr id="13093" name="Oval 805"/>
        <xdr:cNvSpPr>
          <a:spLocks noChangeArrowheads="1"/>
        </xdr:cNvSpPr>
      </xdr:nvSpPr>
      <xdr:spPr bwMode="auto">
        <a:xfrm>
          <a:off x="3762375" y="3457575"/>
          <a:ext cx="47625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19</xdr:row>
      <xdr:rowOff>47625</xdr:rowOff>
    </xdr:from>
    <xdr:to>
      <xdr:col>6</xdr:col>
      <xdr:colOff>104775</xdr:colOff>
      <xdr:row>19</xdr:row>
      <xdr:rowOff>104775</xdr:rowOff>
    </xdr:to>
    <xdr:sp macro="" textlink="">
      <xdr:nvSpPr>
        <xdr:cNvPr id="13094" name="Oval 806"/>
        <xdr:cNvSpPr>
          <a:spLocks noChangeArrowheads="1"/>
        </xdr:cNvSpPr>
      </xdr:nvSpPr>
      <xdr:spPr bwMode="auto">
        <a:xfrm>
          <a:off x="3914775" y="3457575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619125</xdr:colOff>
      <xdr:row>19</xdr:row>
      <xdr:rowOff>47625</xdr:rowOff>
    </xdr:from>
    <xdr:to>
      <xdr:col>6</xdr:col>
      <xdr:colOff>28575</xdr:colOff>
      <xdr:row>19</xdr:row>
      <xdr:rowOff>104775</xdr:rowOff>
    </xdr:to>
    <xdr:sp macro="" textlink="">
      <xdr:nvSpPr>
        <xdr:cNvPr id="13095" name="Oval 807"/>
        <xdr:cNvSpPr>
          <a:spLocks noChangeArrowheads="1"/>
        </xdr:cNvSpPr>
      </xdr:nvSpPr>
      <xdr:spPr bwMode="auto">
        <a:xfrm>
          <a:off x="3838575" y="3457575"/>
          <a:ext cx="57150" cy="57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638175</xdr:colOff>
      <xdr:row>20</xdr:row>
      <xdr:rowOff>0</xdr:rowOff>
    </xdr:from>
    <xdr:to>
      <xdr:col>5</xdr:col>
      <xdr:colOff>638175</xdr:colOff>
      <xdr:row>22</xdr:row>
      <xdr:rowOff>76200</xdr:rowOff>
    </xdr:to>
    <xdr:sp macro="" textlink="">
      <xdr:nvSpPr>
        <xdr:cNvPr id="13096" name="Line 808"/>
        <xdr:cNvSpPr>
          <a:spLocks noChangeShapeType="1"/>
        </xdr:cNvSpPr>
      </xdr:nvSpPr>
      <xdr:spPr bwMode="auto">
        <a:xfrm flipV="1">
          <a:off x="3857625" y="3590925"/>
          <a:ext cx="0" cy="4095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3108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18</xdr:row>
      <xdr:rowOff>123825</xdr:rowOff>
    </xdr:from>
    <xdr:to>
      <xdr:col>1</xdr:col>
      <xdr:colOff>114300</xdr:colOff>
      <xdr:row>22</xdr:row>
      <xdr:rowOff>76200</xdr:rowOff>
    </xdr:to>
    <xdr:grpSp>
      <xdr:nvGrpSpPr>
        <xdr:cNvPr id="13109" name="Group 821"/>
        <xdr:cNvGrpSpPr>
          <a:grpSpLocks/>
        </xdr:cNvGrpSpPr>
      </xdr:nvGrpSpPr>
      <xdr:grpSpPr bwMode="auto">
        <a:xfrm>
          <a:off x="285750" y="3362325"/>
          <a:ext cx="238125" cy="638175"/>
          <a:chOff x="-4258" y="-55335"/>
          <a:chExt cx="8200" cy="603"/>
        </a:xfrm>
      </xdr:grpSpPr>
      <xdr:grpSp>
        <xdr:nvGrpSpPr>
          <xdr:cNvPr id="13110" name="Group 822"/>
          <xdr:cNvGrpSpPr>
            <a:grpSpLocks/>
          </xdr:cNvGrpSpPr>
        </xdr:nvGrpSpPr>
        <xdr:grpSpPr bwMode="auto">
          <a:xfrm>
            <a:off x="-4258" y="-55335"/>
            <a:ext cx="8200" cy="216"/>
            <a:chOff x="600000" y="7060000"/>
            <a:chExt cx="500000" cy="480000"/>
          </a:xfrm>
        </xdr:grpSpPr>
        <xdr:grpSp>
          <xdr:nvGrpSpPr>
            <xdr:cNvPr id="13111" name="Group 823"/>
            <xdr:cNvGrpSpPr>
              <a:grpSpLocks/>
            </xdr:cNvGrpSpPr>
          </xdr:nvGrpSpPr>
          <xdr:grpSpPr bwMode="auto">
            <a:xfrm>
              <a:off x="600000" y="7260000"/>
              <a:ext cx="500000" cy="280000"/>
              <a:chOff x="600000" y="7260000"/>
              <a:chExt cx="500000" cy="280000"/>
            </a:xfrm>
          </xdr:grpSpPr>
          <xdr:sp macro="" textlink="">
            <xdr:nvSpPr>
              <xdr:cNvPr id="13112" name="Rectangle 824"/>
              <xdr:cNvSpPr>
                <a:spLocks noChangeArrowheads="1"/>
              </xdr:cNvSpPr>
            </xdr:nvSpPr>
            <xdr:spPr bwMode="auto">
              <a:xfrm>
                <a:off x="600000" y="7260000"/>
                <a:ext cx="500000" cy="280000"/>
              </a:xfrm>
              <a:prstGeom prst="rect">
                <a:avLst/>
              </a:prstGeom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13113" name="Line 825"/>
              <xdr:cNvSpPr>
                <a:spLocks noChangeShapeType="1"/>
              </xdr:cNvSpPr>
            </xdr:nvSpPr>
            <xdr:spPr bwMode="auto">
              <a:xfrm>
                <a:off x="600000" y="7260000"/>
                <a:ext cx="50000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3114" name="Line 826"/>
            <xdr:cNvSpPr>
              <a:spLocks noChangeShapeType="1"/>
            </xdr:cNvSpPr>
          </xdr:nvSpPr>
          <xdr:spPr bwMode="auto">
            <a:xfrm>
              <a:off x="860000" y="706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115" name="Line 827"/>
            <xdr:cNvSpPr>
              <a:spLocks noChangeShapeType="1"/>
            </xdr:cNvSpPr>
          </xdr:nvSpPr>
          <xdr:spPr bwMode="auto">
            <a:xfrm flipH="1">
              <a:off x="680000" y="7060000"/>
              <a:ext cx="160000" cy="2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3116" name="Line 828"/>
          <xdr:cNvSpPr>
            <a:spLocks noChangeShapeType="1"/>
          </xdr:cNvSpPr>
        </xdr:nvSpPr>
        <xdr:spPr bwMode="auto">
          <a:xfrm flipV="1">
            <a:off x="6" y="-55218"/>
            <a:ext cx="0" cy="486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3119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23</xdr:row>
      <xdr:rowOff>85725</xdr:rowOff>
    </xdr:from>
    <xdr:to>
      <xdr:col>6</xdr:col>
      <xdr:colOff>104775</xdr:colOff>
      <xdr:row>29</xdr:row>
      <xdr:rowOff>47625</xdr:rowOff>
    </xdr:to>
    <xdr:graphicFrame macro="">
      <xdr:nvGraphicFramePr>
        <xdr:cNvPr id="13107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5154" name="Rectangle 818"/>
        <xdr:cNvSpPr>
          <a:spLocks noChangeArrowheads="1"/>
        </xdr:cNvSpPr>
      </xdr:nvSpPr>
      <xdr:spPr bwMode="auto">
        <a:xfrm>
          <a:off x="409575" y="3171825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5130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5156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5167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17</xdr:row>
      <xdr:rowOff>76200</xdr:rowOff>
    </xdr:from>
    <xdr:to>
      <xdr:col>6</xdr:col>
      <xdr:colOff>76200</xdr:colOff>
      <xdr:row>23</xdr:row>
      <xdr:rowOff>47625</xdr:rowOff>
    </xdr:to>
    <xdr:graphicFrame macro="">
      <xdr:nvGraphicFramePr>
        <xdr:cNvPr id="15155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14</xdr:row>
      <xdr:rowOff>180975</xdr:rowOff>
    </xdr:from>
    <xdr:to>
      <xdr:col>0</xdr:col>
      <xdr:colOff>409575</xdr:colOff>
      <xdr:row>20</xdr:row>
      <xdr:rowOff>114300</xdr:rowOff>
    </xdr:to>
    <xdr:sp macro="" textlink="">
      <xdr:nvSpPr>
        <xdr:cNvPr id="15213" name="Drawing 877"/>
        <xdr:cNvSpPr>
          <a:spLocks/>
        </xdr:cNvSpPr>
      </xdr:nvSpPr>
      <xdr:spPr bwMode="auto">
        <a:xfrm>
          <a:off x="228600" y="2800350"/>
          <a:ext cx="180975" cy="962025"/>
        </a:xfrm>
        <a:custGeom>
          <a:avLst/>
          <a:gdLst/>
          <a:ahLst/>
          <a:cxnLst>
            <a:cxn ang="0">
              <a:pos x="2867" y="0"/>
            </a:cxn>
            <a:cxn ang="0">
              <a:pos x="16384" y="0"/>
            </a:cxn>
            <a:cxn ang="0">
              <a:pos x="16384" y="16384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2867" y="0"/>
              </a:moveTo>
              <a:lnTo>
                <a:pt x="16384" y="0"/>
              </a:lnTo>
              <a:lnTo>
                <a:pt x="16384" y="16384"/>
              </a:lnTo>
              <a:lnTo>
                <a:pt x="0" y="16384"/>
              </a:lnTo>
            </a:path>
          </a:pathLst>
        </a:custGeom>
        <a:pattFill prst="ltUpDiag">
          <a:fgClr>
            <a:srgbClr val="000000"/>
          </a:fgClr>
          <a:bgClr>
            <a:srgbClr val="ABABAB"/>
          </a:bgClr>
        </a:patt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400050</xdr:colOff>
      <xdr:row>18</xdr:row>
      <xdr:rowOff>133350</xdr:rowOff>
    </xdr:from>
    <xdr:to>
      <xdr:col>0</xdr:col>
      <xdr:colOff>400050</xdr:colOff>
      <xdr:row>21</xdr:row>
      <xdr:rowOff>114300</xdr:rowOff>
    </xdr:to>
    <xdr:sp macro="" textlink="">
      <xdr:nvSpPr>
        <xdr:cNvPr id="15218" name="Line 882"/>
        <xdr:cNvSpPr>
          <a:spLocks noChangeShapeType="1"/>
        </xdr:cNvSpPr>
      </xdr:nvSpPr>
      <xdr:spPr bwMode="auto">
        <a:xfrm flipV="1">
          <a:off x="400050" y="3429000"/>
          <a:ext cx="0" cy="50482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133350</xdr:colOff>
      <xdr:row>16</xdr:row>
      <xdr:rowOff>95250</xdr:rowOff>
    </xdr:from>
    <xdr:to>
      <xdr:col>0</xdr:col>
      <xdr:colOff>381000</xdr:colOff>
      <xdr:row>19</xdr:row>
      <xdr:rowOff>95250</xdr:rowOff>
    </xdr:to>
    <xdr:grpSp>
      <xdr:nvGrpSpPr>
        <xdr:cNvPr id="15214" name="Group 878"/>
        <xdr:cNvGrpSpPr>
          <a:grpSpLocks/>
        </xdr:cNvGrpSpPr>
      </xdr:nvGrpSpPr>
      <xdr:grpSpPr bwMode="auto">
        <a:xfrm>
          <a:off x="133350" y="3067050"/>
          <a:ext cx="247650" cy="495300"/>
          <a:chOff x="-29" y="-10918"/>
          <a:chExt cx="26" cy="260"/>
        </a:xfrm>
      </xdr:grpSpPr>
      <xdr:sp macro="" textlink="">
        <xdr:nvSpPr>
          <xdr:cNvPr id="15215" name="Arc 879"/>
          <xdr:cNvSpPr>
            <a:spLocks/>
          </xdr:cNvSpPr>
        </xdr:nvSpPr>
        <xdr:spPr bwMode="auto">
          <a:xfrm flipV="1">
            <a:off x="-28" y="-10783"/>
            <a:ext cx="25" cy="12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16" name="Arc 880"/>
          <xdr:cNvSpPr>
            <a:spLocks/>
          </xdr:cNvSpPr>
        </xdr:nvSpPr>
        <xdr:spPr bwMode="auto">
          <a:xfrm>
            <a:off x="-23" y="-10918"/>
            <a:ext cx="20" cy="13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17" name="Line 881"/>
          <xdr:cNvSpPr>
            <a:spLocks noChangeShapeType="1"/>
          </xdr:cNvSpPr>
        </xdr:nvSpPr>
        <xdr:spPr bwMode="auto">
          <a:xfrm flipH="1" flipV="1">
            <a:off x="-29" y="-10918"/>
            <a:ext cx="8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0</xdr:rowOff>
    </xdr:from>
    <xdr:to>
      <xdr:col>1</xdr:col>
      <xdr:colOff>0</xdr:colOff>
      <xdr:row>20</xdr:row>
      <xdr:rowOff>114300</xdr:rowOff>
    </xdr:to>
    <xdr:sp macro="" textlink="">
      <xdr:nvSpPr>
        <xdr:cNvPr id="14210" name="Drawing 898"/>
        <xdr:cNvSpPr>
          <a:spLocks/>
        </xdr:cNvSpPr>
      </xdr:nvSpPr>
      <xdr:spPr bwMode="auto">
        <a:xfrm>
          <a:off x="228600" y="2800350"/>
          <a:ext cx="180975" cy="962025"/>
        </a:xfrm>
        <a:custGeom>
          <a:avLst/>
          <a:gdLst/>
          <a:ahLst/>
          <a:cxnLst>
            <a:cxn ang="0">
              <a:pos x="2867" y="0"/>
            </a:cxn>
            <a:cxn ang="0">
              <a:pos x="16384" y="0"/>
            </a:cxn>
            <a:cxn ang="0">
              <a:pos x="16384" y="16384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2867" y="0"/>
              </a:moveTo>
              <a:lnTo>
                <a:pt x="16384" y="0"/>
              </a:lnTo>
              <a:lnTo>
                <a:pt x="16384" y="16384"/>
              </a:lnTo>
              <a:lnTo>
                <a:pt x="0" y="16384"/>
              </a:lnTo>
            </a:path>
          </a:pathLst>
        </a:custGeom>
        <a:pattFill prst="ltUpDiag">
          <a:fgClr>
            <a:srgbClr val="000000"/>
          </a:fgClr>
          <a:bgClr>
            <a:srgbClr val="ABABAB"/>
          </a:bgClr>
        </a:patt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38100</xdr:rowOff>
    </xdr:from>
    <xdr:to>
      <xdr:col>6</xdr:col>
      <xdr:colOff>0</xdr:colOff>
      <xdr:row>18</xdr:row>
      <xdr:rowOff>114300</xdr:rowOff>
    </xdr:to>
    <xdr:sp macro="" textlink="">
      <xdr:nvSpPr>
        <xdr:cNvPr id="14130" name="Rectangle 818"/>
        <xdr:cNvSpPr>
          <a:spLocks noChangeArrowheads="1"/>
        </xdr:cNvSpPr>
      </xdr:nvSpPr>
      <xdr:spPr bwMode="auto">
        <a:xfrm>
          <a:off x="409575" y="3171825"/>
          <a:ext cx="2971800" cy="238125"/>
        </a:xfrm>
        <a:prstGeom prst="rect">
          <a:avLst/>
        </a:prstGeom>
        <a:solidFill>
          <a:srgbClr val="ABABA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10</xdr:row>
      <xdr:rowOff>0</xdr:rowOff>
    </xdr:from>
    <xdr:to>
      <xdr:col>7</xdr:col>
      <xdr:colOff>57150</xdr:colOff>
      <xdr:row>19</xdr:row>
      <xdr:rowOff>28575</xdr:rowOff>
    </xdr:to>
    <xdr:graphicFrame macro="">
      <xdr:nvGraphicFramePr>
        <xdr:cNvPr id="14106" name="Chart 7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29</xdr:row>
      <xdr:rowOff>0</xdr:rowOff>
    </xdr:from>
    <xdr:to>
      <xdr:col>6</xdr:col>
      <xdr:colOff>95250</xdr:colOff>
      <xdr:row>39</xdr:row>
      <xdr:rowOff>0</xdr:rowOff>
    </xdr:to>
    <xdr:graphicFrame macro="">
      <xdr:nvGraphicFramePr>
        <xdr:cNvPr id="14132" name="Chart 8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40</xdr:row>
      <xdr:rowOff>0</xdr:rowOff>
    </xdr:from>
    <xdr:to>
      <xdr:col>6</xdr:col>
      <xdr:colOff>95250</xdr:colOff>
      <xdr:row>50</xdr:row>
      <xdr:rowOff>0</xdr:rowOff>
    </xdr:to>
    <xdr:graphicFrame macro="">
      <xdr:nvGraphicFramePr>
        <xdr:cNvPr id="14143" name="Chart 8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17</xdr:row>
      <xdr:rowOff>85725</xdr:rowOff>
    </xdr:from>
    <xdr:to>
      <xdr:col>6</xdr:col>
      <xdr:colOff>104775</xdr:colOff>
      <xdr:row>23</xdr:row>
      <xdr:rowOff>57150</xdr:rowOff>
    </xdr:to>
    <xdr:graphicFrame macro="">
      <xdr:nvGraphicFramePr>
        <xdr:cNvPr id="14131" name="Chart 8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419100</xdr:colOff>
      <xdr:row>11</xdr:row>
      <xdr:rowOff>9525</xdr:rowOff>
    </xdr:from>
    <xdr:to>
      <xdr:col>4</xdr:col>
      <xdr:colOff>66675</xdr:colOff>
      <xdr:row>14</xdr:row>
      <xdr:rowOff>38100</xdr:rowOff>
    </xdr:to>
    <xdr:grpSp>
      <xdr:nvGrpSpPr>
        <xdr:cNvPr id="14195" name="Group 883"/>
        <xdr:cNvGrpSpPr>
          <a:grpSpLocks/>
        </xdr:cNvGrpSpPr>
      </xdr:nvGrpSpPr>
      <xdr:grpSpPr bwMode="auto">
        <a:xfrm>
          <a:off x="1990725" y="2124075"/>
          <a:ext cx="228600" cy="533400"/>
          <a:chOff x="-5546" y="-31"/>
          <a:chExt cx="7872" cy="560"/>
        </a:xfrm>
      </xdr:grpSpPr>
      <xdr:sp macro="" textlink="">
        <xdr:nvSpPr>
          <xdr:cNvPr id="14196" name="Arc 884"/>
          <xdr:cNvSpPr>
            <a:spLocks/>
          </xdr:cNvSpPr>
        </xdr:nvSpPr>
        <xdr:spPr bwMode="auto">
          <a:xfrm>
            <a:off x="-5546" y="-31"/>
            <a:ext cx="7872" cy="27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7" name="Arc 885"/>
          <xdr:cNvSpPr>
            <a:spLocks/>
          </xdr:cNvSpPr>
        </xdr:nvSpPr>
        <xdr:spPr bwMode="auto">
          <a:xfrm flipV="1">
            <a:off x="-3250" y="239"/>
            <a:ext cx="5576" cy="29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98" name="Line 886"/>
          <xdr:cNvSpPr>
            <a:spLocks noChangeShapeType="1"/>
          </xdr:cNvSpPr>
        </xdr:nvSpPr>
        <xdr:spPr bwMode="auto">
          <a:xfrm flipH="1" flipV="1">
            <a:off x="-5546" y="529"/>
            <a:ext cx="2296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</xdr:grpSp>
    <xdr:clientData/>
  </xdr:twoCellAnchor>
  <xdr:twoCellAnchor>
    <xdr:from>
      <xdr:col>0</xdr:col>
      <xdr:colOff>400050</xdr:colOff>
      <xdr:row>18</xdr:row>
      <xdr:rowOff>133350</xdr:rowOff>
    </xdr:from>
    <xdr:to>
      <xdr:col>0</xdr:col>
      <xdr:colOff>400050</xdr:colOff>
      <xdr:row>21</xdr:row>
      <xdr:rowOff>114300</xdr:rowOff>
    </xdr:to>
    <xdr:sp macro="" textlink="">
      <xdr:nvSpPr>
        <xdr:cNvPr id="14211" name="Line 899"/>
        <xdr:cNvSpPr>
          <a:spLocks noChangeShapeType="1"/>
        </xdr:cNvSpPr>
      </xdr:nvSpPr>
      <xdr:spPr bwMode="auto">
        <a:xfrm flipV="1">
          <a:off x="400050" y="3429000"/>
          <a:ext cx="0" cy="50482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0</xdr:col>
      <xdr:colOff>133350</xdr:colOff>
      <xdr:row>16</xdr:row>
      <xdr:rowOff>95250</xdr:rowOff>
    </xdr:from>
    <xdr:to>
      <xdr:col>0</xdr:col>
      <xdr:colOff>381000</xdr:colOff>
      <xdr:row>19</xdr:row>
      <xdr:rowOff>95250</xdr:rowOff>
    </xdr:to>
    <xdr:grpSp>
      <xdr:nvGrpSpPr>
        <xdr:cNvPr id="14216" name="Group 904"/>
        <xdr:cNvGrpSpPr>
          <a:grpSpLocks/>
        </xdr:cNvGrpSpPr>
      </xdr:nvGrpSpPr>
      <xdr:grpSpPr bwMode="auto">
        <a:xfrm>
          <a:off x="133350" y="3067050"/>
          <a:ext cx="247650" cy="495300"/>
          <a:chOff x="-29" y="-10918"/>
          <a:chExt cx="26" cy="260"/>
        </a:xfrm>
      </xdr:grpSpPr>
      <xdr:sp macro="" textlink="">
        <xdr:nvSpPr>
          <xdr:cNvPr id="14214" name="Arc 902"/>
          <xdr:cNvSpPr>
            <a:spLocks/>
          </xdr:cNvSpPr>
        </xdr:nvSpPr>
        <xdr:spPr bwMode="auto">
          <a:xfrm>
            <a:off x="-23" y="-10918"/>
            <a:ext cx="20" cy="13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15" name="Line 903"/>
          <xdr:cNvSpPr>
            <a:spLocks noChangeShapeType="1"/>
          </xdr:cNvSpPr>
        </xdr:nvSpPr>
        <xdr:spPr bwMode="auto">
          <a:xfrm flipH="1" flipV="1">
            <a:off x="-29" y="-10918"/>
            <a:ext cx="8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 type="triangle" w="sm" len="sm"/>
          </a:ln>
        </xdr:spPr>
      </xdr:sp>
      <xdr:sp macro="" textlink="">
        <xdr:nvSpPr>
          <xdr:cNvPr id="14213" name="Arc 901"/>
          <xdr:cNvSpPr>
            <a:spLocks/>
          </xdr:cNvSpPr>
        </xdr:nvSpPr>
        <xdr:spPr bwMode="auto">
          <a:xfrm flipV="1">
            <a:off x="-28" y="-10783"/>
            <a:ext cx="25" cy="12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dv.com/Software/BeamCalc" TargetMode="External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oleObject" Target="../embeddings/oleObject1.bin"/><Relationship Id="rId10" Type="http://schemas.openxmlformats.org/officeDocument/2006/relationships/oleObject" Target="../embeddings/oleObject6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5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5" Type="http://schemas.openxmlformats.org/officeDocument/2006/relationships/oleObject" Target="../embeddings/oleObject30.bin"/><Relationship Id="rId4" Type="http://schemas.openxmlformats.org/officeDocument/2006/relationships/oleObject" Target="../embeddings/oleObject2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9.xml"/><Relationship Id="rId4" Type="http://schemas.openxmlformats.org/officeDocument/2006/relationships/oleObject" Target="../embeddings/oleObject3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5" Type="http://schemas.openxmlformats.org/officeDocument/2006/relationships/oleObject" Target="../embeddings/oleObject34.bin"/><Relationship Id="rId4" Type="http://schemas.openxmlformats.org/officeDocument/2006/relationships/oleObject" Target="../embeddings/oleObject3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5.bin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1.xml"/><Relationship Id="rId4" Type="http://schemas.openxmlformats.org/officeDocument/2006/relationships/oleObject" Target="../embeddings/oleObject3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7.bin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2.xml"/><Relationship Id="rId4" Type="http://schemas.openxmlformats.org/officeDocument/2006/relationships/oleObject" Target="../embeddings/oleObject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oleObject" Target="../embeddings/oleObject12.bin"/><Relationship Id="rId1" Type="http://schemas.openxmlformats.org/officeDocument/2006/relationships/vmlDrawing" Target="../drawings/vmlDrawing3.vml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7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Relationship Id="rId4" Type="http://schemas.openxmlformats.org/officeDocument/2006/relationships/oleObject" Target="../embeddings/oleObject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9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Relationship Id="rId4" Type="http://schemas.openxmlformats.org/officeDocument/2006/relationships/oleObject" Target="../embeddings/oleObject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22.bin"/><Relationship Id="rId4" Type="http://schemas.openxmlformats.org/officeDocument/2006/relationships/oleObject" Target="../embeddings/oleObject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3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Relationship Id="rId4" Type="http://schemas.openxmlformats.org/officeDocument/2006/relationships/oleObject" Target="../embeddings/oleObject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5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6.xml"/><Relationship Id="rId4" Type="http://schemas.openxmlformats.org/officeDocument/2006/relationships/oleObject" Target="../embeddings/oleObject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7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7.xml"/><Relationship Id="rId4" Type="http://schemas.openxmlformats.org/officeDocument/2006/relationships/oleObject" Target="../embeddings/oleObject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36"/>
  <sheetViews>
    <sheetView showGridLines="0" workbookViewId="0">
      <selection activeCell="B21" sqref="B21"/>
    </sheetView>
  </sheetViews>
  <sheetFormatPr defaultColWidth="10.7109375" defaultRowHeight="12.75"/>
  <cols>
    <col min="1" max="1" width="2.85546875" style="342" customWidth="1"/>
    <col min="2" max="2" width="22.140625" style="342" customWidth="1"/>
    <col min="3" max="3" width="39" style="342" customWidth="1"/>
    <col min="4" max="4" width="15.85546875" style="342" customWidth="1"/>
    <col min="5" max="5" width="6" style="431" customWidth="1"/>
    <col min="6" max="6" width="6" style="342" customWidth="1"/>
    <col min="7" max="7" width="11.7109375" style="342" customWidth="1"/>
    <col min="8" max="16384" width="10.7109375" style="342"/>
  </cols>
  <sheetData>
    <row r="1" spans="1:9" ht="13.5" thickBot="1">
      <c r="C1" s="343"/>
      <c r="E1" s="425"/>
      <c r="F1" s="426"/>
      <c r="G1" s="426"/>
    </row>
    <row r="2" spans="1:9" ht="17.25" thickTop="1" thickBot="1">
      <c r="B2" s="343"/>
      <c r="C2" s="427" t="s">
        <v>377</v>
      </c>
      <c r="D2" s="428"/>
      <c r="E2" s="429" t="s">
        <v>0</v>
      </c>
      <c r="F2" s="430" t="str">
        <f>"© 1991-2008 WDV™"</f>
        <v>© 1991-2008 WDV™</v>
      </c>
      <c r="G2" s="428"/>
    </row>
    <row r="3" spans="1:9" ht="16.5" thickTop="1" thickBot="1">
      <c r="B3" s="431" t="s">
        <v>381</v>
      </c>
      <c r="C3" s="339" t="s">
        <v>384</v>
      </c>
      <c r="D3" s="428"/>
      <c r="E3" s="429" t="s">
        <v>1</v>
      </c>
      <c r="F3" s="430" t="str">
        <f>"8/24/2008"</f>
        <v>8/24/2008</v>
      </c>
      <c r="G3" s="428"/>
    </row>
    <row r="4" spans="1:9" ht="18.75" thickTop="1" thickBot="1">
      <c r="B4" s="453" t="s">
        <v>364</v>
      </c>
      <c r="C4" s="463" t="s">
        <v>367</v>
      </c>
      <c r="D4" s="428"/>
      <c r="E4" s="429" t="s">
        <v>359</v>
      </c>
      <c r="F4" s="432" t="s">
        <v>367</v>
      </c>
      <c r="G4" s="428"/>
    </row>
    <row r="5" spans="1:9" ht="13.5" thickTop="1">
      <c r="D5" s="433"/>
      <c r="E5" s="429" t="s">
        <v>2</v>
      </c>
      <c r="F5" s="434" t="b">
        <f>EXACT(TRIM(CLEAN(ActivationID)), CorrectID)</f>
        <v>1</v>
      </c>
      <c r="G5" s="428"/>
    </row>
    <row r="6" spans="1:9" ht="15.75">
      <c r="B6" s="435" t="str">
        <f ca="1">IF(IsValidUser, "","Steps In Activating The Software")</f>
        <v/>
      </c>
      <c r="D6" s="428"/>
      <c r="E6" s="429" t="s">
        <v>3</v>
      </c>
      <c r="F6" s="436" t="b">
        <f ca="1">TODAY()&lt;DATEVALUE(Expiration)</f>
        <v>1</v>
      </c>
      <c r="G6" s="428"/>
    </row>
    <row r="7" spans="1:9" ht="14.25" customHeight="1">
      <c r="B7" s="437" t="s">
        <v>380</v>
      </c>
      <c r="D7" s="428"/>
      <c r="E7" s="429" t="s">
        <v>4</v>
      </c>
      <c r="F7" s="436" t="b">
        <f ca="1">OR(InGracePeriod, IsRegistered)</f>
        <v>1</v>
      </c>
      <c r="G7" s="428"/>
    </row>
    <row r="8" spans="1:9" ht="14.25" customHeight="1">
      <c r="B8" s="342" t="str">
        <f ca="1">IF(IsValidUser, "","2) Click on the 'Buy Now' button to obtain your Activation ID via email.")</f>
        <v/>
      </c>
      <c r="D8" s="428"/>
      <c r="E8" s="429"/>
      <c r="F8" s="436"/>
      <c r="G8" s="428"/>
    </row>
    <row r="9" spans="1:9" ht="14.25" customHeight="1">
      <c r="B9" s="342" t="str">
        <f ca="1">IF(IsValidUser, "","3) Enter the Activation ID in the yellow box above.")</f>
        <v/>
      </c>
      <c r="D9" s="428"/>
      <c r="E9" s="429"/>
      <c r="F9" s="436"/>
      <c r="G9" s="428"/>
    </row>
    <row r="10" spans="1:9" ht="14.25" customHeight="1">
      <c r="B10" s="438" t="str">
        <f ca="1">IF(IsValidUser, "","4) Enter your Last Name tin the yellow box.")</f>
        <v/>
      </c>
      <c r="D10" s="438"/>
      <c r="E10" s="439"/>
      <c r="F10" s="440"/>
      <c r="G10" s="438"/>
    </row>
    <row r="11" spans="1:9" ht="14.25" customHeight="1">
      <c r="B11" s="342" t="s">
        <v>382</v>
      </c>
    </row>
    <row r="12" spans="1:9" ht="16.5" customHeight="1" thickBot="1">
      <c r="B12" s="345"/>
      <c r="C12" s="345"/>
      <c r="D12" s="441"/>
      <c r="E12" s="345"/>
      <c r="F12" s="345"/>
      <c r="G12" s="441"/>
    </row>
    <row r="13" spans="1:9" ht="15" customHeight="1" thickTop="1">
      <c r="A13" s="344"/>
      <c r="B13" s="421" t="s">
        <v>363</v>
      </c>
      <c r="C13" s="422"/>
      <c r="D13" s="458"/>
      <c r="E13" s="456"/>
      <c r="F13" s="457"/>
      <c r="G13" s="459"/>
    </row>
    <row r="14" spans="1:9" ht="14.25" customHeight="1" thickBot="1">
      <c r="A14" s="344"/>
      <c r="B14" s="423" t="s">
        <v>383</v>
      </c>
      <c r="C14" s="424"/>
      <c r="D14" s="424"/>
      <c r="E14" s="460"/>
      <c r="F14" s="461"/>
      <c r="G14" s="462"/>
    </row>
    <row r="15" spans="1:9" ht="14.25" customHeight="1" thickTop="1">
      <c r="B15" s="454"/>
      <c r="C15" s="455"/>
      <c r="D15" s="455"/>
    </row>
    <row r="16" spans="1:9" s="346" customFormat="1" ht="14.25" customHeight="1">
      <c r="B16" s="342" t="s">
        <v>379</v>
      </c>
      <c r="C16" s="342"/>
      <c r="D16" s="342"/>
      <c r="E16" s="431"/>
      <c r="F16" s="342"/>
      <c r="G16" s="342"/>
      <c r="H16" s="347"/>
      <c r="I16" s="347"/>
    </row>
    <row r="17" spans="2:15" s="346" customFormat="1" ht="17.25" customHeight="1" thickBot="1">
      <c r="C17" s="347"/>
      <c r="D17" s="347"/>
      <c r="E17" s="347"/>
      <c r="F17" s="347"/>
      <c r="G17" s="347"/>
      <c r="H17" s="347"/>
      <c r="M17" s="347"/>
      <c r="O17" s="347"/>
    </row>
    <row r="18" spans="2:15" s="346" customFormat="1" ht="14.25" customHeight="1" thickTop="1" thickBot="1">
      <c r="B18" s="348" t="s">
        <v>67</v>
      </c>
      <c r="C18" s="349" t="s">
        <v>378</v>
      </c>
      <c r="E18" s="347"/>
      <c r="F18" s="347"/>
      <c r="G18" s="347"/>
      <c r="K18" s="369" t="s">
        <v>79</v>
      </c>
      <c r="L18" s="370"/>
      <c r="O18" s="371"/>
    </row>
    <row r="19" spans="2:15" s="346" customFormat="1" ht="14.25" customHeight="1" thickTop="1">
      <c r="B19" s="350" t="s">
        <v>68</v>
      </c>
      <c r="C19" s="351"/>
      <c r="D19" s="352" t="str">
        <f>"Mass &amp;"</f>
        <v>Mass &amp;</v>
      </c>
      <c r="E19" s="353"/>
      <c r="F19" s="347"/>
      <c r="G19" s="347"/>
      <c r="K19" s="361" t="s">
        <v>81</v>
      </c>
      <c r="L19" s="362" t="s">
        <v>82</v>
      </c>
      <c r="M19" s="372" t="s">
        <v>81</v>
      </c>
      <c r="N19" s="373" t="s">
        <v>82</v>
      </c>
      <c r="O19" s="371"/>
    </row>
    <row r="20" spans="2:15" s="346" customFormat="1" ht="14.25" customHeight="1">
      <c r="B20" s="354" t="s">
        <v>69</v>
      </c>
      <c r="C20" s="355" t="s">
        <v>70</v>
      </c>
      <c r="D20" s="356" t="str">
        <f>"Weight"</f>
        <v>Weight</v>
      </c>
      <c r="E20" s="357" t="s">
        <v>71</v>
      </c>
      <c r="F20" s="347"/>
      <c r="G20" s="347"/>
      <c r="K20" s="374" t="s">
        <v>83</v>
      </c>
      <c r="L20" s="375">
        <v>100</v>
      </c>
      <c r="M20" s="376" t="s">
        <v>84</v>
      </c>
      <c r="N20" s="377">
        <f>1/m_to_cm</f>
        <v>0.01</v>
      </c>
      <c r="O20" s="371"/>
    </row>
    <row r="21" spans="2:15" s="346" customFormat="1" ht="14.25" customHeight="1" thickBot="1">
      <c r="B21" s="420" t="s">
        <v>72</v>
      </c>
      <c r="C21" s="358" t="str">
        <f>VLOOKUP($B$21, UnitsTable, 2, FALSE)</f>
        <v>in</v>
      </c>
      <c r="D21" s="359" t="str">
        <f>VLOOKUP($B$21, UnitsTable, 3, FALSE)</f>
        <v>lb</v>
      </c>
      <c r="E21" s="360" t="str">
        <f>VLOOKUP($B$21, UnitsTable, 4, FALSE)</f>
        <v>lb</v>
      </c>
      <c r="G21" s="347"/>
      <c r="K21" s="378" t="s">
        <v>85</v>
      </c>
      <c r="L21" s="379">
        <v>2.54</v>
      </c>
      <c r="M21" s="380" t="s">
        <v>86</v>
      </c>
      <c r="N21" s="381">
        <f>1/in_to_cm</f>
        <v>0.39370078740157477</v>
      </c>
      <c r="O21" s="371"/>
    </row>
    <row r="22" spans="2:15" s="346" customFormat="1" ht="14.25" customHeight="1" thickTop="1">
      <c r="B22" s="361" t="s">
        <v>73</v>
      </c>
      <c r="C22" s="362" t="s">
        <v>74</v>
      </c>
      <c r="D22" s="362" t="s">
        <v>75</v>
      </c>
      <c r="E22" s="363" t="s">
        <v>76</v>
      </c>
      <c r="F22" s="364"/>
      <c r="G22" s="347"/>
      <c r="K22" s="378" t="s">
        <v>87</v>
      </c>
      <c r="L22" s="382">
        <f>1/m_to_ft</f>
        <v>0.304799999536704</v>
      </c>
      <c r="M22" s="380" t="s">
        <v>88</v>
      </c>
      <c r="N22" s="381">
        <v>3.2808399000000001</v>
      </c>
      <c r="O22" s="371"/>
    </row>
    <row r="23" spans="2:15" s="346" customFormat="1" ht="13.5" thickBot="1">
      <c r="B23" s="365" t="s">
        <v>72</v>
      </c>
      <c r="C23" s="366" t="s">
        <v>77</v>
      </c>
      <c r="D23" s="366" t="s">
        <v>78</v>
      </c>
      <c r="E23" s="367" t="s">
        <v>78</v>
      </c>
      <c r="F23" s="347"/>
      <c r="G23" s="347"/>
      <c r="K23" s="383" t="s">
        <v>89</v>
      </c>
      <c r="L23" s="384">
        <v>12</v>
      </c>
      <c r="M23" s="385" t="s">
        <v>90</v>
      </c>
      <c r="N23" s="386">
        <f>1/ft_to_in</f>
        <v>8.3333333333333329E-2</v>
      </c>
      <c r="O23" s="371"/>
    </row>
    <row r="24" spans="2:15" s="346" customFormat="1" ht="14.25" thickTop="1" thickBot="1">
      <c r="B24" s="368"/>
      <c r="C24" s="368"/>
      <c r="D24" s="368"/>
      <c r="E24" s="368"/>
      <c r="F24" s="347"/>
      <c r="G24" s="347"/>
      <c r="O24" s="371"/>
    </row>
    <row r="25" spans="2:15" ht="15" customHeight="1" thickTop="1" thickBot="1">
      <c r="E25" s="442"/>
      <c r="J25" s="346"/>
      <c r="K25" s="369" t="s">
        <v>91</v>
      </c>
      <c r="L25" s="370"/>
      <c r="M25" s="346"/>
      <c r="N25" s="346"/>
      <c r="O25" s="371"/>
    </row>
    <row r="26" spans="2:15" ht="18" customHeight="1" thickTop="1">
      <c r="C26" s="443" t="s">
        <v>35</v>
      </c>
      <c r="E26" s="342"/>
      <c r="J26" s="346"/>
      <c r="K26" s="387" t="s">
        <v>81</v>
      </c>
      <c r="L26" s="388" t="s">
        <v>82</v>
      </c>
      <c r="M26" s="389" t="s">
        <v>81</v>
      </c>
      <c r="N26" s="373" t="s">
        <v>82</v>
      </c>
      <c r="O26" s="371"/>
    </row>
    <row r="27" spans="2:15" ht="18" customHeight="1">
      <c r="E27" s="443"/>
      <c r="J27" s="346"/>
      <c r="K27" s="390" t="s">
        <v>92</v>
      </c>
      <c r="L27" s="391">
        <f>1/kg_to_g</f>
        <v>1E-3</v>
      </c>
      <c r="M27" s="392" t="s">
        <v>93</v>
      </c>
      <c r="N27" s="393">
        <v>1000</v>
      </c>
      <c r="O27" s="371"/>
    </row>
    <row r="28" spans="2:15" ht="18" customHeight="1">
      <c r="B28" s="444" t="s">
        <v>36</v>
      </c>
      <c r="E28" s="342"/>
      <c r="J28" s="346"/>
      <c r="K28" s="394" t="s">
        <v>94</v>
      </c>
      <c r="L28" s="395">
        <v>14.5939</v>
      </c>
      <c r="M28" s="396" t="s">
        <v>95</v>
      </c>
      <c r="N28" s="397">
        <f>1/slug_to_kg</f>
        <v>6.8521779647661013E-2</v>
      </c>
      <c r="O28" s="371"/>
    </row>
    <row r="29" spans="2:15" ht="18" customHeight="1">
      <c r="C29" s="342" t="s">
        <v>37</v>
      </c>
      <c r="E29" s="342"/>
      <c r="J29" s="346"/>
      <c r="K29" s="394" t="s">
        <v>96</v>
      </c>
      <c r="L29" s="395">
        <f>32.1740416</f>
        <v>32.174041600000002</v>
      </c>
      <c r="M29" s="396" t="s">
        <v>97</v>
      </c>
      <c r="N29" s="397">
        <f>1/slug_to_lb</f>
        <v>3.108095689165765E-2</v>
      </c>
      <c r="O29" s="371"/>
    </row>
    <row r="30" spans="2:15" ht="18" customHeight="1" thickBot="1">
      <c r="E30" s="342"/>
      <c r="J30" s="346"/>
      <c r="K30" s="383" t="s">
        <v>98</v>
      </c>
      <c r="L30" s="398">
        <f>2.2046226</f>
        <v>2.2046226</v>
      </c>
      <c r="M30" s="399" t="s">
        <v>99</v>
      </c>
      <c r="N30" s="386">
        <f>1/kg_to_lb</f>
        <v>0.4535923744952991</v>
      </c>
      <c r="O30" s="371"/>
    </row>
    <row r="31" spans="2:15" ht="18" customHeight="1" thickTop="1" thickBot="1">
      <c r="B31" s="444" t="s">
        <v>38</v>
      </c>
      <c r="E31" s="342"/>
      <c r="H31" s="445"/>
      <c r="J31" s="346"/>
      <c r="K31" s="346"/>
      <c r="L31" s="346"/>
      <c r="M31" s="346"/>
      <c r="N31" s="346"/>
      <c r="O31" s="371"/>
    </row>
    <row r="32" spans="2:15" ht="18" customHeight="1" thickTop="1">
      <c r="C32" s="342" t="s">
        <v>39</v>
      </c>
      <c r="E32" s="342"/>
      <c r="J32" s="346"/>
      <c r="K32" s="400" t="s">
        <v>100</v>
      </c>
      <c r="L32" s="401"/>
      <c r="M32" s="402"/>
      <c r="N32" s="347"/>
      <c r="O32" s="371"/>
    </row>
    <row r="33" spans="2:15" ht="18" customHeight="1">
      <c r="E33" s="342"/>
      <c r="J33" s="346"/>
      <c r="K33" s="403" t="s">
        <v>101</v>
      </c>
      <c r="L33" s="404"/>
      <c r="M33" s="405"/>
      <c r="N33" s="347"/>
      <c r="O33" s="371"/>
    </row>
    <row r="34" spans="2:15" ht="18" customHeight="1" thickBot="1">
      <c r="B34" s="444" t="s">
        <v>40</v>
      </c>
      <c r="E34" s="342"/>
      <c r="J34" s="346"/>
      <c r="K34" s="406" t="s">
        <v>102</v>
      </c>
      <c r="L34" s="407"/>
      <c r="M34" s="408"/>
      <c r="N34" s="347"/>
      <c r="O34" s="371"/>
    </row>
    <row r="35" spans="2:15" ht="18" customHeight="1" thickTop="1">
      <c r="C35" s="342" t="s">
        <v>41</v>
      </c>
      <c r="E35" s="342"/>
      <c r="J35" s="346"/>
      <c r="K35" s="409" t="s">
        <v>103</v>
      </c>
      <c r="L35" s="410">
        <f>L29</f>
        <v>32.174041600000002</v>
      </c>
      <c r="M35" s="402" t="s">
        <v>104</v>
      </c>
      <c r="N35" s="347"/>
      <c r="O35" s="371"/>
    </row>
    <row r="36" spans="2:15" ht="18" customHeight="1" thickBot="1">
      <c r="E36" s="342"/>
      <c r="J36" s="346"/>
      <c r="K36" s="383" t="s">
        <v>105</v>
      </c>
      <c r="L36" s="411">
        <f>L35*ft_to_m</f>
        <v>9.8066478647738968</v>
      </c>
      <c r="M36" s="412" t="s">
        <v>106</v>
      </c>
      <c r="N36" s="347"/>
      <c r="O36" s="371"/>
    </row>
    <row r="37" spans="2:15" ht="18" customHeight="1" thickTop="1">
      <c r="B37" s="444" t="s">
        <v>42</v>
      </c>
      <c r="E37" s="342"/>
      <c r="J37" s="346"/>
      <c r="K37" s="403" t="s">
        <v>107</v>
      </c>
      <c r="L37" s="404"/>
      <c r="M37" s="405"/>
      <c r="N37" s="347"/>
      <c r="O37" s="371"/>
    </row>
    <row r="38" spans="2:15" ht="18" customHeight="1" thickBot="1">
      <c r="C38" s="342" t="s">
        <v>43</v>
      </c>
      <c r="E38" s="342"/>
      <c r="J38" s="346"/>
      <c r="K38" s="413"/>
      <c r="L38" s="407"/>
      <c r="M38" s="412"/>
      <c r="N38" s="347"/>
      <c r="O38" s="371"/>
    </row>
    <row r="39" spans="2:15" ht="18" customHeight="1" thickTop="1" thickBot="1">
      <c r="C39" s="342" t="s">
        <v>44</v>
      </c>
      <c r="E39" s="342"/>
      <c r="J39" s="346"/>
      <c r="K39" s="347"/>
      <c r="L39" s="346"/>
      <c r="M39" s="346"/>
      <c r="N39" s="346"/>
      <c r="O39" s="371"/>
    </row>
    <row r="40" spans="2:15" ht="18" customHeight="1" thickTop="1" thickBot="1">
      <c r="E40" s="342"/>
      <c r="J40" s="346"/>
      <c r="K40" s="369" t="s">
        <v>71</v>
      </c>
      <c r="L40" s="370"/>
      <c r="M40" s="346"/>
      <c r="N40" s="346"/>
      <c r="O40" s="371"/>
    </row>
    <row r="41" spans="2:15" ht="18" customHeight="1" thickTop="1">
      <c r="B41" s="444" t="s">
        <v>45</v>
      </c>
      <c r="E41" s="342"/>
      <c r="J41" s="346"/>
      <c r="K41" s="414" t="s">
        <v>81</v>
      </c>
      <c r="L41" s="415" t="s">
        <v>82</v>
      </c>
      <c r="M41" s="416" t="s">
        <v>81</v>
      </c>
      <c r="N41" s="417" t="s">
        <v>82</v>
      </c>
      <c r="O41" s="371"/>
    </row>
    <row r="42" spans="2:15" ht="15" customHeight="1" thickBot="1">
      <c r="C42" s="342" t="s">
        <v>46</v>
      </c>
      <c r="E42" s="342"/>
      <c r="J42" s="346"/>
      <c r="K42" s="413" t="s">
        <v>108</v>
      </c>
      <c r="L42" s="366">
        <v>0.22480894000000001</v>
      </c>
      <c r="M42" s="418" t="s">
        <v>109</v>
      </c>
      <c r="N42" s="367">
        <v>4.4482216765934703</v>
      </c>
      <c r="O42" s="371"/>
    </row>
    <row r="43" spans="2:15" ht="15" customHeight="1" thickTop="1">
      <c r="E43" s="342"/>
      <c r="J43" s="346"/>
      <c r="K43" s="346"/>
      <c r="L43" s="346"/>
      <c r="M43" s="346"/>
      <c r="N43" s="346"/>
      <c r="O43" s="371"/>
    </row>
    <row r="44" spans="2:15" ht="15" customHeight="1" thickBot="1">
      <c r="E44" s="342"/>
      <c r="J44" s="346"/>
      <c r="K44" s="347"/>
      <c r="L44" s="346"/>
      <c r="M44" s="346"/>
      <c r="N44" s="346"/>
      <c r="O44" s="371"/>
    </row>
    <row r="45" spans="2:15" ht="18" customHeight="1" thickTop="1" thickBot="1">
      <c r="C45" s="443" t="s">
        <v>47</v>
      </c>
      <c r="E45" s="342"/>
      <c r="J45" s="346"/>
      <c r="K45" s="369" t="s">
        <v>110</v>
      </c>
      <c r="L45" s="370"/>
      <c r="M45" s="346"/>
      <c r="N45" s="346"/>
      <c r="O45" s="371"/>
    </row>
    <row r="46" spans="2:15" ht="15" customHeight="1" thickTop="1">
      <c r="E46" s="342"/>
      <c r="J46" s="346"/>
      <c r="K46" s="419" t="s">
        <v>111</v>
      </c>
      <c r="L46" s="402">
        <f>lb_to_N/(in_to_ft*ft_to_m)^2</f>
        <v>6894.7574091947181</v>
      </c>
      <c r="M46" s="362" t="s">
        <v>112</v>
      </c>
      <c r="N46" s="402">
        <f>IF('1) Set Units '!$B$21 = "SI", US_to_SI_E, 1)</f>
        <v>1</v>
      </c>
      <c r="O46" s="371"/>
    </row>
    <row r="47" spans="2:15" ht="18" customHeight="1">
      <c r="B47" s="444" t="s">
        <v>48</v>
      </c>
      <c r="E47" s="342"/>
      <c r="J47" s="346"/>
      <c r="K47" s="378" t="s">
        <v>113</v>
      </c>
      <c r="L47" s="405">
        <f>US_to_SI_E</f>
        <v>6894.7574091947181</v>
      </c>
      <c r="M47" s="368" t="s">
        <v>114</v>
      </c>
      <c r="N47" s="405">
        <f>IF('1) Set Units '!$B$21 = "SI", US_to_SI_s, 1)</f>
        <v>1</v>
      </c>
      <c r="O47" s="371"/>
    </row>
    <row r="48" spans="2:15" ht="18" customHeight="1">
      <c r="C48" s="342" t="s">
        <v>49</v>
      </c>
      <c r="E48" s="342"/>
      <c r="J48" s="346"/>
      <c r="K48" s="378" t="s">
        <v>115</v>
      </c>
      <c r="L48" s="405">
        <f>lb_to_kg/(in_to_ft*ft_to_m)^3</f>
        <v>27679.905110743468</v>
      </c>
      <c r="M48" s="368" t="s">
        <v>116</v>
      </c>
      <c r="N48" s="405">
        <f>IF('1) Set Units '!$B$21 = "SI", US_to_SI_r, 1)</f>
        <v>1</v>
      </c>
      <c r="O48" s="371"/>
    </row>
    <row r="49" spans="2:15" ht="18" customHeight="1" thickBot="1">
      <c r="E49" s="342"/>
      <c r="J49" s="346"/>
      <c r="K49" s="383" t="s">
        <v>117</v>
      </c>
      <c r="L49" s="412">
        <f>g_SI</f>
        <v>9.8066478647738968</v>
      </c>
      <c r="M49" s="366" t="s">
        <v>118</v>
      </c>
      <c r="N49" s="412">
        <f>IF('1) Set Units '!$B$21 = "SI", US_to_SI_x, 1)</f>
        <v>1</v>
      </c>
      <c r="O49" s="371"/>
    </row>
    <row r="50" spans="2:15" ht="18" customHeight="1" thickTop="1">
      <c r="B50" s="444" t="s">
        <v>50</v>
      </c>
      <c r="E50" s="342"/>
      <c r="H50" s="445"/>
      <c r="J50" s="346"/>
      <c r="K50" s="371"/>
      <c r="L50" s="371"/>
      <c r="M50" s="371"/>
      <c r="N50" s="371"/>
      <c r="O50" s="371"/>
    </row>
    <row r="51" spans="2:15" ht="18" customHeight="1">
      <c r="C51" s="342" t="s">
        <v>368</v>
      </c>
      <c r="E51" s="342"/>
    </row>
    <row r="52" spans="2:15" ht="18" customHeight="1">
      <c r="E52" s="342"/>
    </row>
    <row r="53" spans="2:15" ht="18" customHeight="1">
      <c r="B53" s="444" t="s">
        <v>51</v>
      </c>
      <c r="E53" s="342"/>
    </row>
    <row r="54" spans="2:15" ht="18" customHeight="1">
      <c r="C54" s="342" t="s">
        <v>52</v>
      </c>
      <c r="E54" s="342"/>
    </row>
    <row r="55" spans="2:15" ht="18" customHeight="1">
      <c r="C55" s="342" t="s">
        <v>53</v>
      </c>
      <c r="E55" s="342"/>
    </row>
    <row r="56" spans="2:15" ht="18" customHeight="1">
      <c r="E56" s="342"/>
    </row>
    <row r="57" spans="2:15" ht="18" customHeight="1">
      <c r="B57" s="444" t="s">
        <v>54</v>
      </c>
      <c r="E57" s="342"/>
    </row>
    <row r="58" spans="2:15" ht="18" customHeight="1">
      <c r="C58" s="342" t="s">
        <v>55</v>
      </c>
      <c r="E58" s="342"/>
    </row>
    <row r="59" spans="2:15" ht="18" customHeight="1">
      <c r="E59" s="342"/>
    </row>
    <row r="60" spans="2:15" ht="18" customHeight="1">
      <c r="B60" s="444" t="s">
        <v>56</v>
      </c>
      <c r="E60" s="342"/>
    </row>
    <row r="61" spans="2:15" ht="18" customHeight="1">
      <c r="C61" s="342" t="s">
        <v>57</v>
      </c>
      <c r="E61" s="342"/>
    </row>
    <row r="62" spans="2:15" ht="18" customHeight="1">
      <c r="E62" s="342"/>
    </row>
    <row r="63" spans="2:15" ht="18" customHeight="1">
      <c r="B63" s="444" t="s">
        <v>58</v>
      </c>
      <c r="E63" s="342"/>
    </row>
    <row r="64" spans="2:15" ht="18" customHeight="1">
      <c r="C64" s="342" t="s">
        <v>59</v>
      </c>
      <c r="E64" s="342"/>
    </row>
    <row r="65" spans="2:12" ht="15" customHeight="1">
      <c r="C65" s="342" t="s">
        <v>60</v>
      </c>
      <c r="E65" s="342"/>
    </row>
    <row r="66" spans="2:12" ht="15" customHeight="1">
      <c r="B66" s="446"/>
      <c r="C66" s="342" t="s">
        <v>61</v>
      </c>
      <c r="E66" s="342"/>
    </row>
    <row r="67" spans="2:12" ht="15" customHeight="1">
      <c r="B67" s="446"/>
      <c r="E67" s="342"/>
    </row>
    <row r="68" spans="2:12" ht="18">
      <c r="B68" s="444" t="s">
        <v>62</v>
      </c>
      <c r="E68" s="342"/>
    </row>
    <row r="69" spans="2:12" ht="17.100000000000001" customHeight="1">
      <c r="C69" s="447" t="s">
        <v>63</v>
      </c>
      <c r="E69" s="342"/>
    </row>
    <row r="70" spans="2:12" ht="17.100000000000001" customHeight="1">
      <c r="C70" s="447" t="s">
        <v>64</v>
      </c>
      <c r="E70" s="342"/>
    </row>
    <row r="71" spans="2:12" ht="15" customHeight="1">
      <c r="C71" s="447" t="s">
        <v>65</v>
      </c>
      <c r="E71" s="342"/>
    </row>
    <row r="72" spans="2:12" ht="15" customHeight="1">
      <c r="B72" s="446"/>
      <c r="E72" s="342"/>
    </row>
    <row r="73" spans="2:12" ht="18" customHeight="1">
      <c r="B73" s="444" t="s">
        <v>66</v>
      </c>
      <c r="E73" s="443"/>
    </row>
    <row r="74" spans="2:12" ht="18" customHeight="1">
      <c r="C74" s="342" t="s">
        <v>369</v>
      </c>
      <c r="E74" s="342"/>
      <c r="K74" s="443"/>
      <c r="L74" s="371"/>
    </row>
    <row r="76" spans="2:12" ht="13.5" thickBot="1">
      <c r="B76" s="448"/>
      <c r="C76" s="449" t="s">
        <v>5</v>
      </c>
      <c r="D76" s="448"/>
      <c r="E76" s="450"/>
    </row>
    <row r="77" spans="2:12" ht="13.5" thickTop="1"/>
    <row r="78" spans="2:12">
      <c r="B78" s="342" t="s">
        <v>6</v>
      </c>
    </row>
    <row r="80" spans="2:12">
      <c r="B80" s="342" t="s">
        <v>7</v>
      </c>
    </row>
    <row r="81" spans="2:2">
      <c r="B81" s="342" t="s">
        <v>8</v>
      </c>
    </row>
    <row r="82" spans="2:2">
      <c r="B82" s="342" t="s">
        <v>9</v>
      </c>
    </row>
    <row r="84" spans="2:2">
      <c r="B84" s="451" t="s">
        <v>10</v>
      </c>
    </row>
    <row r="86" spans="2:2">
      <c r="B86" s="342" t="s">
        <v>11</v>
      </c>
    </row>
    <row r="87" spans="2:2">
      <c r="B87" s="342" t="s">
        <v>12</v>
      </c>
    </row>
    <row r="89" spans="2:2">
      <c r="B89" s="342" t="s">
        <v>13</v>
      </c>
    </row>
    <row r="90" spans="2:2">
      <c r="B90" s="342" t="s">
        <v>351</v>
      </c>
    </row>
    <row r="93" spans="2:2">
      <c r="B93" s="342" t="s">
        <v>14</v>
      </c>
    </row>
    <row r="94" spans="2:2">
      <c r="B94" s="342" t="s">
        <v>15</v>
      </c>
    </row>
    <row r="95" spans="2:2">
      <c r="B95" s="342" t="s">
        <v>16</v>
      </c>
    </row>
    <row r="97" spans="2:2">
      <c r="B97" s="451" t="s">
        <v>17</v>
      </c>
    </row>
    <row r="99" spans="2:2">
      <c r="B99" s="342" t="s">
        <v>352</v>
      </c>
    </row>
    <row r="103" spans="2:2">
      <c r="B103" s="342" t="s">
        <v>18</v>
      </c>
    </row>
    <row r="104" spans="2:2">
      <c r="B104" s="342" t="s">
        <v>354</v>
      </c>
    </row>
    <row r="105" spans="2:2">
      <c r="B105" s="342" t="s">
        <v>353</v>
      </c>
    </row>
    <row r="108" spans="2:2">
      <c r="B108" s="342" t="s">
        <v>19</v>
      </c>
    </row>
    <row r="109" spans="2:2">
      <c r="B109" s="342" t="s">
        <v>20</v>
      </c>
    </row>
    <row r="112" spans="2:2">
      <c r="B112" s="342" t="s">
        <v>21</v>
      </c>
    </row>
    <row r="113" spans="2:2">
      <c r="B113" s="342" t="s">
        <v>22</v>
      </c>
    </row>
    <row r="114" spans="2:2">
      <c r="B114" s="342" t="s">
        <v>23</v>
      </c>
    </row>
    <row r="115" spans="2:2">
      <c r="B115" s="342" t="s">
        <v>24</v>
      </c>
    </row>
    <row r="116" spans="2:2">
      <c r="B116" s="452" t="s">
        <v>25</v>
      </c>
    </row>
    <row r="117" spans="2:2">
      <c r="B117" s="452" t="s">
        <v>26</v>
      </c>
    </row>
    <row r="118" spans="2:2">
      <c r="B118" s="452" t="s">
        <v>27</v>
      </c>
    </row>
    <row r="119" spans="2:2">
      <c r="B119" s="452" t="s">
        <v>28</v>
      </c>
    </row>
    <row r="123" spans="2:2">
      <c r="B123" s="451" t="s">
        <v>29</v>
      </c>
    </row>
    <row r="125" spans="2:2">
      <c r="B125" s="342" t="s">
        <v>30</v>
      </c>
    </row>
    <row r="126" spans="2:2">
      <c r="B126" s="342" t="s">
        <v>31</v>
      </c>
    </row>
    <row r="127" spans="2:2">
      <c r="B127" s="342" t="s">
        <v>32</v>
      </c>
    </row>
    <row r="128" spans="2:2">
      <c r="B128" s="342" t="s">
        <v>33</v>
      </c>
    </row>
    <row r="129" spans="2:3">
      <c r="B129" s="342" t="s">
        <v>362</v>
      </c>
    </row>
    <row r="131" spans="2:3">
      <c r="B131" s="342" t="s">
        <v>360</v>
      </c>
    </row>
    <row r="134" spans="2:3">
      <c r="B134" s="342" t="s">
        <v>34</v>
      </c>
    </row>
    <row r="135" spans="2:3">
      <c r="B135" s="342" t="s">
        <v>361</v>
      </c>
    </row>
    <row r="136" spans="2:3">
      <c r="B136" s="342" t="s">
        <v>365</v>
      </c>
      <c r="C136" s="342" t="s">
        <v>366</v>
      </c>
    </row>
  </sheetData>
  <sheetProtection password="C4AC" sheet="1" objects="1" scenarios="1" selectLockedCells="1"/>
  <phoneticPr fontId="23" type="noConversion"/>
  <hyperlinks>
    <hyperlink ref="B7" r:id="rId1" display="1) Click here to visit the BeamCalc subscription page."/>
  </hyperlinks>
  <printOptions gridLinesSet="0"/>
  <pageMargins left="0.75" right="0.75" top="1" bottom="1" header="0.5" footer="0.5"/>
  <pageSetup orientation="landscape" horizontalDpi="4294967292" verticalDpi="4294967292" r:id="rId2"/>
  <headerFooter alignWithMargins="0"/>
  <drawing r:id="rId3"/>
  <legacyDrawing r:id="rId4"/>
  <oleObjects>
    <oleObject progId="MSPhotoEd.3" shapeId="2060" r:id="rId5"/>
    <oleObject progId="MSPhotoEd.3" shapeId="2067" r:id="rId6"/>
    <oleObject progId="MSPhotoEd.3" shapeId="2068" r:id="rId7"/>
    <oleObject progId="MSPhotoEd.3" shapeId="2069" r:id="rId8"/>
    <oleObject progId="MSPhotoEd.3" shapeId="2070" r:id="rId9"/>
    <oleObject progId="MSPhotoEd.3" shapeId="2071" r:id="rId10"/>
    <oleObject progId="MSPhotoEd.3" shapeId="2072" r:id="rId11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syncHorizontal="1" syncRef="A1" codeName="Sheet13">
    <pageSetUpPr fitToPage="1"/>
  </sheetPr>
  <dimension ref="A1:R96"/>
  <sheetViews>
    <sheetView showGridLines="0" defaultGridColor="0" colorId="8" zoomScaleNormal="100" workbookViewId="0">
      <selection sqref="A1:A1048576"/>
    </sheetView>
  </sheetViews>
  <sheetFormatPr defaultColWidth="10.7109375" defaultRowHeight="12.75"/>
  <cols>
    <col min="1" max="1" width="6.42578125" style="304" customWidth="1"/>
    <col min="2" max="5" width="8.7109375" style="304" customWidth="1"/>
    <col min="6" max="6" width="9.7109375" style="304" customWidth="1"/>
    <col min="7" max="7" width="8.5703125" style="304" bestFit="1" customWidth="1"/>
    <col min="8" max="8" width="8.140625" style="304" customWidth="1"/>
    <col min="9" max="9" width="9.7109375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347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330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331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294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/>
      <c r="D6" s="96" t="s">
        <v>333</v>
      </c>
      <c r="E6" s="96"/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 t="s">
        <v>302</v>
      </c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260</v>
      </c>
      <c r="C7" s="96"/>
      <c r="D7" s="96" t="s">
        <v>332</v>
      </c>
      <c r="E7" s="96"/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17.25" thickTop="1" thickBot="1">
      <c r="A8" s="110"/>
      <c r="B8" s="111" t="s">
        <v>306</v>
      </c>
      <c r="C8" s="112"/>
      <c r="D8" s="112" t="s">
        <v>334</v>
      </c>
      <c r="E8" s="113"/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0</v>
      </c>
      <c r="N8" s="27">
        <f t="shared" si="0"/>
        <v>-126.54182950462412</v>
      </c>
      <c r="O8" s="27">
        <f t="shared" ca="1" si="0"/>
        <v>0</v>
      </c>
      <c r="P8" s="27">
        <f t="shared" ca="1" si="0"/>
        <v>0</v>
      </c>
      <c r="Q8" s="27">
        <f t="shared" si="0"/>
        <v>-551200</v>
      </c>
      <c r="R8" s="28">
        <f t="shared" si="0"/>
        <v>-11493.392001078153</v>
      </c>
    </row>
    <row r="9" spans="1:18" ht="14.25" thickTop="1" thickBot="1">
      <c r="A9" s="110"/>
      <c r="B9" s="115" t="str">
        <f>[0]!DistanceUnits</f>
        <v>in</v>
      </c>
      <c r="C9" s="116"/>
      <c r="D9" s="116" t="str">
        <f>ForceUnits</f>
        <v>lb</v>
      </c>
      <c r="E9" s="117"/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34.852607709749677</v>
      </c>
      <c r="N9" s="32">
        <f t="shared" si="1"/>
        <v>0</v>
      </c>
      <c r="O9" s="32">
        <f t="shared" ca="1" si="1"/>
        <v>848</v>
      </c>
      <c r="P9" s="32">
        <f t="shared" ca="1" si="1"/>
        <v>68.552833900661454</v>
      </c>
      <c r="Q9" s="32">
        <f t="shared" si="1"/>
        <v>0</v>
      </c>
      <c r="R9" s="33">
        <f t="shared" si="1"/>
        <v>0</v>
      </c>
    </row>
    <row r="10" spans="1:18" ht="14.25" thickTop="1" thickBot="1">
      <c r="A10" s="110"/>
      <c r="B10" s="5">
        <v>650</v>
      </c>
      <c r="C10" s="119"/>
      <c r="D10" s="6">
        <v>848</v>
      </c>
      <c r="E10" s="120"/>
      <c r="F10" s="8">
        <f>70*12</f>
        <v>840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34.852607709749677</v>
      </c>
      <c r="N10" s="32">
        <f t="shared" si="2"/>
        <v>-126.54182950462412</v>
      </c>
      <c r="O10" s="32">
        <f t="shared" ca="1" si="2"/>
        <v>848</v>
      </c>
      <c r="P10" s="32">
        <f t="shared" ca="1" si="2"/>
        <v>68.552833900661454</v>
      </c>
      <c r="Q10" s="32">
        <f t="shared" si="2"/>
        <v>-551200</v>
      </c>
      <c r="R10" s="33">
        <f t="shared" si="2"/>
        <v>-11493.392001078153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655.20000000000027</v>
      </c>
      <c r="N11" s="37">
        <f t="shared" ca="1" si="3"/>
        <v>840.00000000000034</v>
      </c>
      <c r="O11" s="37">
        <f t="shared" ca="1" si="3"/>
        <v>0</v>
      </c>
      <c r="P11" s="37">
        <f t="shared" ca="1" si="3"/>
        <v>0</v>
      </c>
      <c r="Q11" s="37">
        <f t="shared" ca="1" si="3"/>
        <v>0</v>
      </c>
      <c r="R11" s="38">
        <f t="shared" ca="1" si="3"/>
        <v>0</v>
      </c>
    </row>
    <row r="12" spans="1:18" ht="13.5" thickTop="1">
      <c r="A12" s="45"/>
      <c r="B12" s="121"/>
      <c r="C12" s="122"/>
      <c r="D12" s="123" t="s">
        <v>332</v>
      </c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>IF(AND(x &lt;= a, a &lt; L13), ( (L13-a)/(L13-x) * P/((L13-x)) ),  0)</f>
        <v>0</v>
      </c>
      <c r="N12" s="39">
        <f>IF($L12&lt; a, P/(E*Ix)*($L12^3/6-a*$L12^2/2), P*a^2/(6*E*Ix)*(a-3*$L12))</f>
        <v>0</v>
      </c>
      <c r="O12" s="39">
        <f ca="1">IF(x&lt;=a,Ra,0)</f>
        <v>848</v>
      </c>
      <c r="P12" s="39">
        <f t="shared" ref="P12:P43" ca="1" si="5">V/A_CS</f>
        <v>68.552833900661454</v>
      </c>
      <c r="Q12" s="39">
        <f>IF(x&lt;=a,P*(x-a),0)</f>
        <v>-551200</v>
      </c>
      <c r="R12" s="41">
        <f t="shared" ref="R12:R43" si="6">Ybar*Q12/Ix</f>
        <v>-11493.392001078153</v>
      </c>
    </row>
    <row r="13" spans="1:18">
      <c r="A13" s="336" t="s">
        <v>348</v>
      </c>
      <c r="B13" s="121"/>
      <c r="C13" s="122"/>
      <c r="D13" s="122"/>
      <c r="E13" s="122"/>
      <c r="F13" s="121"/>
      <c r="G13" s="661">
        <f>A_CS*L</f>
        <v>10390.817701748241</v>
      </c>
      <c r="H13" s="45"/>
      <c r="I13" s="662">
        <f>G13*[0]!Density</f>
        <v>789.70214533286628</v>
      </c>
      <c r="J13" s="45"/>
      <c r="K13" s="29">
        <f t="shared" ref="K13:K44" si="7">K12+0.02</f>
        <v>0.02</v>
      </c>
      <c r="L13" s="39">
        <f t="shared" si="4"/>
        <v>16.8</v>
      </c>
      <c r="M13" s="40">
        <f t="shared" ref="M13:M44" si="8">IF(AND(x &lt;= a, a &lt; L14), ( (L14-a)/(L14-x) * P/((x-L12)/2+(L14-x)/2) ), IF(AND(L12 &lt; a, a &lt;= x), (  (a - L12)/(x - L12)*P/((x-L12)/2+(L14-x)/2) ), 0))</f>
        <v>0</v>
      </c>
      <c r="N13" s="39">
        <f t="shared" ref="N13:N28" si="9">IF($L13&lt; a, P/(E*Ix)*($L13^3/6-a*$L13^2/2), P*a^2/(6*E*Ix)*(a-3*$L13))</f>
        <v>-8.7389879230051898E-2</v>
      </c>
      <c r="O13" s="39">
        <f t="shared" ref="O13:O28" ca="1" si="10">IF(x&lt;=a,Ra,0)</f>
        <v>848</v>
      </c>
      <c r="P13" s="39">
        <f t="shared" ca="1" si="5"/>
        <v>68.552833900661454</v>
      </c>
      <c r="Q13" s="39">
        <f t="shared" ref="Q13:Q28" si="11">IF(x&lt;=a,P*(x-a),0)</f>
        <v>-536953.60000000009</v>
      </c>
      <c r="R13" s="41">
        <f t="shared" si="6"/>
        <v>-11196.332023204135</v>
      </c>
    </row>
    <row r="14" spans="1:18" ht="13.5" thickBot="1">
      <c r="A14" s="94">
        <f>P*a</f>
        <v>551200</v>
      </c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7"/>
        <v>0.04</v>
      </c>
      <c r="L14" s="39">
        <f t="shared" si="4"/>
        <v>33.6</v>
      </c>
      <c r="M14" s="40">
        <f t="shared" si="8"/>
        <v>0</v>
      </c>
      <c r="N14" s="39">
        <f t="shared" si="9"/>
        <v>-0.34652175575516547</v>
      </c>
      <c r="O14" s="39">
        <f t="shared" ca="1" si="10"/>
        <v>848</v>
      </c>
      <c r="P14" s="39">
        <f t="shared" ca="1" si="5"/>
        <v>68.552833900661454</v>
      </c>
      <c r="Q14" s="39">
        <f t="shared" si="11"/>
        <v>-522707.19999999995</v>
      </c>
      <c r="R14" s="41">
        <f t="shared" si="6"/>
        <v>-10899.272045330112</v>
      </c>
    </row>
    <row r="15" spans="1:18" ht="14.25" thickTop="1" thickBot="1">
      <c r="A15" s="94" t="str">
        <f>IF(ActiveUnits="SI", SUBSTITUTE(SUBSTITUTE("F-D", "F", ForceUnits), "D", DistanceUnits), SUBSTITUTE(SUBSTITUTE("D-F", "F", ForceUnits), "D", DistanceUnits))</f>
        <v>in-lb</v>
      </c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7"/>
        <v>0.06</v>
      </c>
      <c r="L15" s="39">
        <f t="shared" si="4"/>
        <v>50.4</v>
      </c>
      <c r="M15" s="40">
        <f t="shared" si="8"/>
        <v>0</v>
      </c>
      <c r="N15" s="39">
        <f t="shared" si="9"/>
        <v>-0.77283898782777738</v>
      </c>
      <c r="O15" s="39">
        <f t="shared" ca="1" si="10"/>
        <v>848</v>
      </c>
      <c r="P15" s="39">
        <f t="shared" ca="1" si="5"/>
        <v>68.552833900661454</v>
      </c>
      <c r="Q15" s="39">
        <f t="shared" si="11"/>
        <v>-508460.80000000005</v>
      </c>
      <c r="R15" s="41">
        <f t="shared" si="6"/>
        <v>-10602.212067456094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7"/>
        <v>0.08</v>
      </c>
      <c r="L16" s="39">
        <f t="shared" si="4"/>
        <v>67.2</v>
      </c>
      <c r="M16" s="40">
        <f t="shared" si="8"/>
        <v>0</v>
      </c>
      <c r="N16" s="39">
        <f t="shared" si="9"/>
        <v>-1.3617849337003245</v>
      </c>
      <c r="O16" s="39">
        <f t="shared" ca="1" si="10"/>
        <v>848</v>
      </c>
      <c r="P16" s="39">
        <f t="shared" ca="1" si="5"/>
        <v>68.552833900661454</v>
      </c>
      <c r="Q16" s="39">
        <f t="shared" si="11"/>
        <v>-494214.39999999997</v>
      </c>
      <c r="R16" s="41">
        <f t="shared" si="6"/>
        <v>-10305.152089582072</v>
      </c>
    </row>
    <row r="17" spans="1:18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7"/>
        <v>0.1</v>
      </c>
      <c r="L17" s="39">
        <f t="shared" si="4"/>
        <v>84</v>
      </c>
      <c r="M17" s="40">
        <f t="shared" si="8"/>
        <v>0</v>
      </c>
      <c r="N17" s="39">
        <f t="shared" si="9"/>
        <v>-2.1088029516252438</v>
      </c>
      <c r="O17" s="39">
        <f t="shared" ca="1" si="10"/>
        <v>848</v>
      </c>
      <c r="P17" s="39">
        <f t="shared" ca="1" si="5"/>
        <v>68.552833900661454</v>
      </c>
      <c r="Q17" s="39">
        <f t="shared" si="11"/>
        <v>-479968</v>
      </c>
      <c r="R17" s="41">
        <f t="shared" si="6"/>
        <v>-10008.092111708054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7"/>
        <v>0.12000000000000001</v>
      </c>
      <c r="L18" s="39">
        <f t="shared" si="4"/>
        <v>100.80000000000001</v>
      </c>
      <c r="M18" s="40">
        <f t="shared" si="8"/>
        <v>0</v>
      </c>
      <c r="N18" s="39">
        <f t="shared" si="9"/>
        <v>-3.0093363998549725</v>
      </c>
      <c r="O18" s="39">
        <f t="shared" ca="1" si="10"/>
        <v>848</v>
      </c>
      <c r="P18" s="39">
        <f t="shared" ca="1" si="5"/>
        <v>68.552833900661454</v>
      </c>
      <c r="Q18" s="39">
        <f t="shared" si="11"/>
        <v>-465721.60000000003</v>
      </c>
      <c r="R18" s="41">
        <f t="shared" si="6"/>
        <v>-9711.0321338340345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>IF(ABS(R10)/[0]!Strength &lt; 1, ABS(R10)/[0]!Strength, "FAILED.")</f>
        <v>0.4788913333782564</v>
      </c>
      <c r="J19" s="45"/>
      <c r="K19" s="29">
        <f t="shared" si="7"/>
        <v>0.14000000000000001</v>
      </c>
      <c r="L19" s="39">
        <f t="shared" si="4"/>
        <v>117.60000000000001</v>
      </c>
      <c r="M19" s="40">
        <f t="shared" si="8"/>
        <v>0</v>
      </c>
      <c r="N19" s="39">
        <f t="shared" si="9"/>
        <v>-4.0588286366419455</v>
      </c>
      <c r="O19" s="39">
        <f t="shared" ca="1" si="10"/>
        <v>848</v>
      </c>
      <c r="P19" s="39">
        <f t="shared" ca="1" si="5"/>
        <v>68.552833900661454</v>
      </c>
      <c r="Q19" s="39">
        <f t="shared" si="11"/>
        <v>-451475.19999999995</v>
      </c>
      <c r="R19" s="41">
        <f t="shared" si="6"/>
        <v>-9413.972155960013</v>
      </c>
    </row>
    <row r="20" spans="1:18" ht="14.25" thickTop="1" thickBot="1">
      <c r="A20" s="45"/>
      <c r="B20" s="121"/>
      <c r="C20" s="121"/>
      <c r="D20" s="121"/>
      <c r="E20" s="121"/>
      <c r="F20" s="96"/>
      <c r="G20" s="45"/>
      <c r="H20" s="45"/>
      <c r="I20" s="45"/>
      <c r="J20" s="45"/>
      <c r="K20" s="29">
        <f t="shared" si="7"/>
        <v>0.16</v>
      </c>
      <c r="L20" s="39">
        <f t="shared" si="4"/>
        <v>134.4</v>
      </c>
      <c r="M20" s="40">
        <f t="shared" si="8"/>
        <v>0</v>
      </c>
      <c r="N20" s="39">
        <f t="shared" si="9"/>
        <v>-5.2527230202385997</v>
      </c>
      <c r="O20" s="39">
        <f t="shared" ca="1" si="10"/>
        <v>848</v>
      </c>
      <c r="P20" s="39">
        <f t="shared" ca="1" si="5"/>
        <v>68.552833900661454</v>
      </c>
      <c r="Q20" s="39">
        <f t="shared" si="11"/>
        <v>-437228.80000000005</v>
      </c>
      <c r="R20" s="41">
        <f t="shared" si="6"/>
        <v>-9116.912178085995</v>
      </c>
    </row>
    <row r="21" spans="1:18" ht="13.5" thickTop="1">
      <c r="A21" s="45"/>
      <c r="B21" s="121"/>
      <c r="C21" s="121"/>
      <c r="D21" s="121"/>
      <c r="E21" s="121"/>
      <c r="F21" s="97"/>
      <c r="G21" s="88" t="s">
        <v>320</v>
      </c>
      <c r="H21" s="45"/>
      <c r="I21" s="80" t="s">
        <v>318</v>
      </c>
      <c r="J21" s="45"/>
      <c r="K21" s="29">
        <f t="shared" si="7"/>
        <v>0.18</v>
      </c>
      <c r="L21" s="39">
        <f t="shared" si="4"/>
        <v>151.19999999999999</v>
      </c>
      <c r="M21" s="40">
        <f t="shared" si="8"/>
        <v>0</v>
      </c>
      <c r="N21" s="39">
        <f t="shared" si="9"/>
        <v>-6.5864629088973734</v>
      </c>
      <c r="O21" s="39">
        <f t="shared" ca="1" si="10"/>
        <v>848</v>
      </c>
      <c r="P21" s="39">
        <f t="shared" ca="1" si="5"/>
        <v>68.552833900661454</v>
      </c>
      <c r="Q21" s="39">
        <f t="shared" si="11"/>
        <v>-422982.40000000002</v>
      </c>
      <c r="R21" s="41">
        <f t="shared" si="6"/>
        <v>-8819.8522002119735</v>
      </c>
    </row>
    <row r="22" spans="1:18">
      <c r="A22" s="110" t="s">
        <v>316</v>
      </c>
      <c r="B22" s="121"/>
      <c r="C22" s="121"/>
      <c r="D22" s="121"/>
      <c r="E22" s="121"/>
      <c r="F22" s="127"/>
      <c r="G22" s="90" t="s">
        <v>322</v>
      </c>
      <c r="H22" s="45"/>
      <c r="I22" s="82" t="s">
        <v>296</v>
      </c>
      <c r="J22" s="45"/>
      <c r="K22" s="29">
        <f t="shared" si="7"/>
        <v>0.19999999999999998</v>
      </c>
      <c r="L22" s="39">
        <f t="shared" si="4"/>
        <v>168</v>
      </c>
      <c r="M22" s="40">
        <f t="shared" si="8"/>
        <v>0</v>
      </c>
      <c r="N22" s="39">
        <f t="shared" si="9"/>
        <v>-8.0554916608707057</v>
      </c>
      <c r="O22" s="39">
        <f t="shared" ca="1" si="10"/>
        <v>848</v>
      </c>
      <c r="P22" s="39">
        <f t="shared" ca="1" si="5"/>
        <v>68.552833900661454</v>
      </c>
      <c r="Q22" s="39">
        <f t="shared" si="11"/>
        <v>-408736</v>
      </c>
      <c r="R22" s="41">
        <f t="shared" si="6"/>
        <v>-8522.7922223379537</v>
      </c>
    </row>
    <row r="23" spans="1:18">
      <c r="A23" s="94">
        <f ca="1">IF(IsValidUser, P,"Time To Pay")</f>
        <v>848</v>
      </c>
      <c r="B23" s="121"/>
      <c r="C23" s="121"/>
      <c r="D23" s="128" t="s">
        <v>319</v>
      </c>
      <c r="E23" s="121"/>
      <c r="F23" s="121"/>
      <c r="G23" s="82">
        <f>DEGREES(-P*a^2/(2*E*Ix))</f>
        <v>-11.631517800768441</v>
      </c>
      <c r="H23" s="45"/>
      <c r="I23" s="86" t="s">
        <v>303</v>
      </c>
      <c r="J23" s="45"/>
      <c r="K23" s="29">
        <f t="shared" si="7"/>
        <v>0.21999999999999997</v>
      </c>
      <c r="L23" s="39">
        <f t="shared" si="4"/>
        <v>184.79999999999998</v>
      </c>
      <c r="M23" s="40">
        <f t="shared" si="8"/>
        <v>0</v>
      </c>
      <c r="N23" s="39">
        <f t="shared" si="9"/>
        <v>-9.6552526344110277</v>
      </c>
      <c r="O23" s="39">
        <f t="shared" ca="1" si="10"/>
        <v>848</v>
      </c>
      <c r="P23" s="39">
        <f t="shared" ca="1" si="5"/>
        <v>68.552833900661454</v>
      </c>
      <c r="Q23" s="39">
        <f t="shared" si="11"/>
        <v>-394489.60000000003</v>
      </c>
      <c r="R23" s="41">
        <f t="shared" si="6"/>
        <v>-8225.732244463934</v>
      </c>
    </row>
    <row r="24" spans="1:18" ht="13.5" thickBot="1">
      <c r="A24" s="94" t="str">
        <f>ForceUnits</f>
        <v>lb</v>
      </c>
      <c r="B24" s="121"/>
      <c r="C24" s="121"/>
      <c r="D24" s="121"/>
      <c r="E24" s="121"/>
      <c r="F24" s="121"/>
      <c r="G24" s="84" t="s">
        <v>323</v>
      </c>
      <c r="H24" s="45"/>
      <c r="I24" s="85">
        <f ca="1">IF(ABS(P10)/[0]!Strength &lt; 1, ABS(P10)/[0]!Strength, "FAILED.")</f>
        <v>2.8563680791942273E-3</v>
      </c>
      <c r="J24" s="45"/>
      <c r="K24" s="29">
        <f t="shared" si="7"/>
        <v>0.23999999999999996</v>
      </c>
      <c r="L24" s="39">
        <f t="shared" si="4"/>
        <v>201.59999999999997</v>
      </c>
      <c r="M24" s="40">
        <f t="shared" si="8"/>
        <v>0</v>
      </c>
      <c r="N24" s="39">
        <f t="shared" si="9"/>
        <v>-11.381189187770778</v>
      </c>
      <c r="O24" s="39">
        <f t="shared" ca="1" si="10"/>
        <v>848</v>
      </c>
      <c r="P24" s="39">
        <f t="shared" ca="1" si="5"/>
        <v>68.552833900661454</v>
      </c>
      <c r="Q24" s="39">
        <f t="shared" si="11"/>
        <v>-380243.20000000001</v>
      </c>
      <c r="R24" s="41">
        <f t="shared" si="6"/>
        <v>-7928.6722665899142</v>
      </c>
    </row>
    <row r="25" spans="1:18" ht="14.25" thickTop="1" thickBot="1">
      <c r="A25" s="45"/>
      <c r="B25" s="121"/>
      <c r="C25" s="121"/>
      <c r="D25" s="121"/>
      <c r="E25" s="121"/>
      <c r="F25" s="121"/>
      <c r="G25" s="45"/>
      <c r="H25" s="45"/>
      <c r="I25" s="45"/>
      <c r="J25" s="87"/>
      <c r="K25" s="29">
        <f t="shared" si="7"/>
        <v>0.25999999999999995</v>
      </c>
      <c r="L25" s="39">
        <f t="shared" si="4"/>
        <v>218.39999999999995</v>
      </c>
      <c r="M25" s="40">
        <f t="shared" si="8"/>
        <v>0</v>
      </c>
      <c r="N25" s="39">
        <f t="shared" si="9"/>
        <v>-13.228744679202395</v>
      </c>
      <c r="O25" s="39">
        <f t="shared" ca="1" si="10"/>
        <v>848</v>
      </c>
      <c r="P25" s="39">
        <f t="shared" ca="1" si="5"/>
        <v>68.552833900661454</v>
      </c>
      <c r="Q25" s="39">
        <f t="shared" si="11"/>
        <v>-365996.80000000005</v>
      </c>
      <c r="R25" s="41">
        <f t="shared" si="6"/>
        <v>-7631.6122887158945</v>
      </c>
    </row>
    <row r="26" spans="1:18" ht="13.5" thickTop="1">
      <c r="A26" s="45"/>
      <c r="B26" s="121"/>
      <c r="C26" s="121"/>
      <c r="D26" s="121"/>
      <c r="E26" s="121"/>
      <c r="F26" s="121"/>
      <c r="G26" s="45"/>
      <c r="H26" s="45"/>
      <c r="I26" s="89" t="s">
        <v>321</v>
      </c>
      <c r="J26" s="87"/>
      <c r="K26" s="29">
        <f t="shared" si="7"/>
        <v>0.27999999999999997</v>
      </c>
      <c r="L26" s="39">
        <f t="shared" si="4"/>
        <v>235.2</v>
      </c>
      <c r="M26" s="40">
        <f t="shared" si="8"/>
        <v>0</v>
      </c>
      <c r="N26" s="39">
        <f t="shared" si="9"/>
        <v>-15.193362466958318</v>
      </c>
      <c r="O26" s="39">
        <f t="shared" ca="1" si="10"/>
        <v>848</v>
      </c>
      <c r="P26" s="39">
        <f t="shared" ca="1" si="5"/>
        <v>68.552833900661454</v>
      </c>
      <c r="Q26" s="39">
        <f t="shared" si="11"/>
        <v>-351750.40000000002</v>
      </c>
      <c r="R26" s="41">
        <f t="shared" si="6"/>
        <v>-7334.5523108418747</v>
      </c>
    </row>
    <row r="27" spans="1:18">
      <c r="A27" s="45"/>
      <c r="B27" s="121"/>
      <c r="C27" s="121"/>
      <c r="D27" s="121"/>
      <c r="E27" s="121"/>
      <c r="F27" s="121"/>
      <c r="G27" s="45"/>
      <c r="H27" s="45"/>
      <c r="I27" s="91" t="s">
        <v>295</v>
      </c>
      <c r="J27" s="87"/>
      <c r="K27" s="29">
        <f t="shared" si="7"/>
        <v>0.3</v>
      </c>
      <c r="L27" s="39">
        <f t="shared" si="4"/>
        <v>252</v>
      </c>
      <c r="M27" s="40">
        <f t="shared" si="8"/>
        <v>0</v>
      </c>
      <c r="N27" s="39">
        <f t="shared" si="9"/>
        <v>-17.270485909290983</v>
      </c>
      <c r="O27" s="39">
        <f t="shared" ca="1" si="10"/>
        <v>848</v>
      </c>
      <c r="P27" s="39">
        <f t="shared" ca="1" si="5"/>
        <v>68.552833900661454</v>
      </c>
      <c r="Q27" s="39">
        <f t="shared" si="11"/>
        <v>-337504</v>
      </c>
      <c r="R27" s="41">
        <f t="shared" si="6"/>
        <v>-7037.4923329678541</v>
      </c>
    </row>
    <row r="28" spans="1:18">
      <c r="A28" s="45"/>
      <c r="B28" s="121"/>
      <c r="C28" s="121"/>
      <c r="D28" s="121"/>
      <c r="E28" s="121"/>
      <c r="F28" s="121"/>
      <c r="G28" s="45"/>
      <c r="H28" s="45"/>
      <c r="I28" s="663">
        <f>N10</f>
        <v>-126.54182950462412</v>
      </c>
      <c r="J28" s="87"/>
      <c r="K28" s="29">
        <f t="shared" si="7"/>
        <v>0.32</v>
      </c>
      <c r="L28" s="39">
        <f t="shared" si="4"/>
        <v>268.8</v>
      </c>
      <c r="M28" s="40">
        <f t="shared" si="8"/>
        <v>0</v>
      </c>
      <c r="N28" s="39">
        <f t="shared" si="9"/>
        <v>-19.45555836445282</v>
      </c>
      <c r="O28" s="39">
        <f t="shared" ca="1" si="10"/>
        <v>848</v>
      </c>
      <c r="P28" s="39">
        <f t="shared" ca="1" si="5"/>
        <v>68.552833900661454</v>
      </c>
      <c r="Q28" s="39">
        <f t="shared" si="11"/>
        <v>-323257.59999999998</v>
      </c>
      <c r="R28" s="41">
        <f t="shared" si="6"/>
        <v>-6740.4323550938334</v>
      </c>
    </row>
    <row r="29" spans="1:18" ht="13.5" thickBot="1">
      <c r="A29" s="45"/>
      <c r="B29" s="121"/>
      <c r="C29" s="121"/>
      <c r="D29" s="121"/>
      <c r="E29" s="121"/>
      <c r="F29" s="121"/>
      <c r="G29" s="45"/>
      <c r="H29" s="45"/>
      <c r="I29" s="92" t="str">
        <f>DistanceUnits</f>
        <v>in</v>
      </c>
      <c r="J29" s="87"/>
      <c r="K29" s="29">
        <f t="shared" si="7"/>
        <v>0.34</v>
      </c>
      <c r="L29" s="39">
        <f t="shared" si="4"/>
        <v>285.60000000000002</v>
      </c>
      <c r="M29" s="40">
        <f t="shared" si="8"/>
        <v>0</v>
      </c>
      <c r="N29" s="39">
        <f t="shared" ref="N29:N44" si="12">IF($L29&lt; a, P/(E*Ix)*($L29^3/6-a*$L29^2/2), P*a^2/(6*E*Ix)*(a-3*$L29))</f>
        <v>-21.744023190696275</v>
      </c>
      <c r="O29" s="39">
        <f t="shared" ref="O29:O44" ca="1" si="13">IF(x&lt;=a,Ra,0)</f>
        <v>848</v>
      </c>
      <c r="P29" s="39">
        <f t="shared" ca="1" si="5"/>
        <v>68.552833900661454</v>
      </c>
      <c r="Q29" s="39">
        <f t="shared" ref="Q29:Q44" si="14">IF(x&lt;=a,P*(x-a),0)</f>
        <v>-309011.19999999995</v>
      </c>
      <c r="R29" s="41">
        <f t="shared" si="6"/>
        <v>-6443.3723772198127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7"/>
        <v>0.36000000000000004</v>
      </c>
      <c r="L30" s="39">
        <f t="shared" si="4"/>
        <v>302.40000000000003</v>
      </c>
      <c r="M30" s="40">
        <f t="shared" si="8"/>
        <v>0</v>
      </c>
      <c r="N30" s="39">
        <f t="shared" si="12"/>
        <v>-24.131323746273779</v>
      </c>
      <c r="O30" s="39">
        <f t="shared" ca="1" si="13"/>
        <v>848</v>
      </c>
      <c r="P30" s="39">
        <f t="shared" ca="1" si="5"/>
        <v>68.552833900661454</v>
      </c>
      <c r="Q30" s="39">
        <f t="shared" si="14"/>
        <v>-294764.79999999999</v>
      </c>
      <c r="R30" s="41">
        <f t="shared" si="6"/>
        <v>-6146.3123993457939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7"/>
        <v>0.38000000000000006</v>
      </c>
      <c r="L31" s="39">
        <f t="shared" si="4"/>
        <v>319.20000000000005</v>
      </c>
      <c r="M31" s="40">
        <f t="shared" si="8"/>
        <v>0</v>
      </c>
      <c r="N31" s="39">
        <f t="shared" si="12"/>
        <v>-26.612903389437765</v>
      </c>
      <c r="O31" s="39">
        <f t="shared" ca="1" si="13"/>
        <v>848</v>
      </c>
      <c r="P31" s="39">
        <f t="shared" ca="1" si="5"/>
        <v>68.552833900661454</v>
      </c>
      <c r="Q31" s="39">
        <f t="shared" si="14"/>
        <v>-280518.39999999997</v>
      </c>
      <c r="R31" s="41">
        <f t="shared" si="6"/>
        <v>-5849.2524214717732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7"/>
        <v>0.40000000000000008</v>
      </c>
      <c r="L32" s="39">
        <f t="shared" si="4"/>
        <v>336.00000000000006</v>
      </c>
      <c r="M32" s="40">
        <f t="shared" si="8"/>
        <v>0</v>
      </c>
      <c r="N32" s="39">
        <f t="shared" si="12"/>
        <v>-29.184205478440681</v>
      </c>
      <c r="O32" s="39">
        <f t="shared" ca="1" si="13"/>
        <v>848</v>
      </c>
      <c r="P32" s="39">
        <f t="shared" ca="1" si="5"/>
        <v>68.552833900661454</v>
      </c>
      <c r="Q32" s="39">
        <f t="shared" si="14"/>
        <v>-266271.99999999994</v>
      </c>
      <c r="R32" s="41">
        <f t="shared" si="6"/>
        <v>-5552.1924435977526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848</v>
      </c>
      <c r="J33" s="87"/>
      <c r="K33" s="29">
        <f t="shared" si="7"/>
        <v>0.4200000000000001</v>
      </c>
      <c r="L33" s="39">
        <f t="shared" si="4"/>
        <v>352.80000000000007</v>
      </c>
      <c r="M33" s="40">
        <f t="shared" si="8"/>
        <v>0</v>
      </c>
      <c r="N33" s="39">
        <f t="shared" si="12"/>
        <v>-31.840673371534951</v>
      </c>
      <c r="O33" s="39">
        <f t="shared" ca="1" si="13"/>
        <v>848</v>
      </c>
      <c r="P33" s="39">
        <f t="shared" ca="1" si="5"/>
        <v>68.552833900661454</v>
      </c>
      <c r="Q33" s="39">
        <f t="shared" si="14"/>
        <v>-252025.59999999995</v>
      </c>
      <c r="R33" s="41">
        <f t="shared" si="6"/>
        <v>-5255.1324657237328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7"/>
        <v>0.44000000000000011</v>
      </c>
      <c r="L34" s="39">
        <f t="shared" si="4"/>
        <v>369.60000000000008</v>
      </c>
      <c r="M34" s="40">
        <f t="shared" si="8"/>
        <v>0</v>
      </c>
      <c r="N34" s="39">
        <f t="shared" si="12"/>
        <v>-34.577750426973026</v>
      </c>
      <c r="O34" s="39">
        <f t="shared" ca="1" si="13"/>
        <v>848</v>
      </c>
      <c r="P34" s="39">
        <f t="shared" ca="1" si="5"/>
        <v>68.552833900661454</v>
      </c>
      <c r="Q34" s="39">
        <f t="shared" si="14"/>
        <v>-237779.19999999992</v>
      </c>
      <c r="R34" s="41">
        <f t="shared" si="6"/>
        <v>-4958.0724878497122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7"/>
        <v>0.46000000000000013</v>
      </c>
      <c r="L35" s="39">
        <f t="shared" si="4"/>
        <v>386.40000000000009</v>
      </c>
      <c r="M35" s="40">
        <f t="shared" si="8"/>
        <v>0</v>
      </c>
      <c r="N35" s="39">
        <f t="shared" si="12"/>
        <v>-37.390880003007325</v>
      </c>
      <c r="O35" s="39">
        <f t="shared" ca="1" si="13"/>
        <v>848</v>
      </c>
      <c r="P35" s="39">
        <f t="shared" ca="1" si="5"/>
        <v>68.552833900661454</v>
      </c>
      <c r="Q35" s="39">
        <f t="shared" si="14"/>
        <v>-223532.79999999993</v>
      </c>
      <c r="R35" s="41">
        <f t="shared" si="6"/>
        <v>-4661.0125099756924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7"/>
        <v>0.48000000000000015</v>
      </c>
      <c r="L36" s="39">
        <f t="shared" si="4"/>
        <v>403.2000000000001</v>
      </c>
      <c r="M36" s="40">
        <f t="shared" si="8"/>
        <v>0</v>
      </c>
      <c r="N36" s="39">
        <f t="shared" si="12"/>
        <v>-40.275505457890304</v>
      </c>
      <c r="O36" s="39">
        <f t="shared" ca="1" si="13"/>
        <v>848</v>
      </c>
      <c r="P36" s="39">
        <f t="shared" ca="1" si="5"/>
        <v>68.552833900661454</v>
      </c>
      <c r="Q36" s="39">
        <f t="shared" si="14"/>
        <v>-209286.39999999991</v>
      </c>
      <c r="R36" s="41">
        <f t="shared" si="6"/>
        <v>-4363.9525321016727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7"/>
        <v>0.50000000000000011</v>
      </c>
      <c r="L37" s="39">
        <f t="shared" si="4"/>
        <v>420.00000000000011</v>
      </c>
      <c r="M37" s="40">
        <f t="shared" si="8"/>
        <v>0</v>
      </c>
      <c r="N37" s="39">
        <f t="shared" si="12"/>
        <v>-43.227070149874386</v>
      </c>
      <c r="O37" s="39">
        <f t="shared" ca="1" si="13"/>
        <v>848</v>
      </c>
      <c r="P37" s="39">
        <f t="shared" ca="1" si="5"/>
        <v>68.552833900661454</v>
      </c>
      <c r="Q37" s="39">
        <f t="shared" si="14"/>
        <v>-195039.99999999991</v>
      </c>
      <c r="R37" s="41">
        <f t="shared" si="6"/>
        <v>-4066.8925542276525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0</v>
      </c>
      <c r="J38" s="87"/>
      <c r="K38" s="29">
        <f t="shared" si="7"/>
        <v>0.52000000000000013</v>
      </c>
      <c r="L38" s="39">
        <f t="shared" si="4"/>
        <v>436.80000000000013</v>
      </c>
      <c r="M38" s="40">
        <f t="shared" si="8"/>
        <v>0</v>
      </c>
      <c r="N38" s="39">
        <f t="shared" si="12"/>
        <v>-46.241017437212015</v>
      </c>
      <c r="O38" s="39">
        <f t="shared" ca="1" si="13"/>
        <v>848</v>
      </c>
      <c r="P38" s="39">
        <f t="shared" ca="1" si="5"/>
        <v>68.552833900661454</v>
      </c>
      <c r="Q38" s="39">
        <f t="shared" si="14"/>
        <v>-180793.59999999989</v>
      </c>
      <c r="R38" s="41">
        <f t="shared" si="6"/>
        <v>-3769.8325763536318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7"/>
        <v>0.54000000000000015</v>
      </c>
      <c r="L39" s="39">
        <f t="shared" si="4"/>
        <v>453.60000000000014</v>
      </c>
      <c r="M39" s="40">
        <f t="shared" si="8"/>
        <v>0</v>
      </c>
      <c r="N39" s="39">
        <f t="shared" si="12"/>
        <v>-49.312790678155629</v>
      </c>
      <c r="O39" s="39">
        <f t="shared" ca="1" si="13"/>
        <v>848</v>
      </c>
      <c r="P39" s="39">
        <f t="shared" ca="1" si="5"/>
        <v>68.552833900661454</v>
      </c>
      <c r="Q39" s="39">
        <f t="shared" si="14"/>
        <v>-166547.1999999999</v>
      </c>
      <c r="R39" s="41">
        <f t="shared" si="6"/>
        <v>-3472.772598479612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7"/>
        <v>0.56000000000000016</v>
      </c>
      <c r="L40" s="39">
        <f t="shared" si="4"/>
        <v>470.40000000000015</v>
      </c>
      <c r="M40" s="40">
        <f t="shared" si="8"/>
        <v>0</v>
      </c>
      <c r="N40" s="39">
        <f t="shared" si="12"/>
        <v>-52.437833230957644</v>
      </c>
      <c r="O40" s="39">
        <f t="shared" ca="1" si="13"/>
        <v>848</v>
      </c>
      <c r="P40" s="39">
        <f t="shared" ca="1" si="5"/>
        <v>68.552833900661454</v>
      </c>
      <c r="Q40" s="39">
        <f t="shared" si="14"/>
        <v>-152300.79999999987</v>
      </c>
      <c r="R40" s="41">
        <f t="shared" si="6"/>
        <v>-3175.7126206055918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7"/>
        <v>0.58000000000000018</v>
      </c>
      <c r="L41" s="39">
        <f t="shared" si="4"/>
        <v>487.20000000000016</v>
      </c>
      <c r="M41" s="40">
        <f t="shared" si="8"/>
        <v>0</v>
      </c>
      <c r="N41" s="39">
        <f t="shared" si="12"/>
        <v>-55.611588453870532</v>
      </c>
      <c r="O41" s="39">
        <f t="shared" ca="1" si="13"/>
        <v>848</v>
      </c>
      <c r="P41" s="39">
        <f t="shared" ca="1" si="5"/>
        <v>68.552833900661454</v>
      </c>
      <c r="Q41" s="39">
        <f t="shared" si="14"/>
        <v>-138054.39999999988</v>
      </c>
      <c r="R41" s="41">
        <f t="shared" si="6"/>
        <v>-2878.6526427315716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7"/>
        <v>0.6000000000000002</v>
      </c>
      <c r="L42" s="39">
        <f t="shared" si="4"/>
        <v>504.00000000000017</v>
      </c>
      <c r="M42" s="40">
        <f t="shared" si="8"/>
        <v>0</v>
      </c>
      <c r="N42" s="39">
        <f t="shared" si="12"/>
        <v>-58.829499705146702</v>
      </c>
      <c r="O42" s="39">
        <f t="shared" ca="1" si="13"/>
        <v>848</v>
      </c>
      <c r="P42" s="39">
        <f t="shared" ca="1" si="5"/>
        <v>68.552833900661454</v>
      </c>
      <c r="Q42" s="39">
        <f t="shared" si="14"/>
        <v>-123807.99999999985</v>
      </c>
      <c r="R42" s="41">
        <f t="shared" si="6"/>
        <v>-2581.5926648575514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>Q9</f>
        <v>0</v>
      </c>
      <c r="J43" s="87"/>
      <c r="K43" s="29">
        <f t="shared" si="7"/>
        <v>0.62000000000000022</v>
      </c>
      <c r="L43" s="39">
        <f t="shared" si="4"/>
        <v>520.80000000000018</v>
      </c>
      <c r="M43" s="40">
        <f t="shared" si="8"/>
        <v>0</v>
      </c>
      <c r="N43" s="39">
        <f t="shared" si="12"/>
        <v>-62.0870103430386</v>
      </c>
      <c r="O43" s="39">
        <f t="shared" ca="1" si="13"/>
        <v>848</v>
      </c>
      <c r="P43" s="39">
        <f t="shared" ca="1" si="5"/>
        <v>68.552833900661454</v>
      </c>
      <c r="Q43" s="39">
        <f t="shared" si="14"/>
        <v>-109561.59999999985</v>
      </c>
      <c r="R43" s="41">
        <f t="shared" si="6"/>
        <v>-2284.5326869835312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7"/>
        <v>0.64000000000000024</v>
      </c>
      <c r="L44" s="39">
        <f t="shared" ref="L44:L62" si="15">L*K44</f>
        <v>537.60000000000025</v>
      </c>
      <c r="M44" s="40">
        <f t="shared" si="8"/>
        <v>0</v>
      </c>
      <c r="N44" s="39">
        <f t="shared" si="12"/>
        <v>-65.379563725798675</v>
      </c>
      <c r="O44" s="39">
        <f t="shared" ca="1" si="13"/>
        <v>848</v>
      </c>
      <c r="P44" s="39">
        <f t="shared" ref="P44:P62" ca="1" si="16">V/A_CS</f>
        <v>68.552833900661454</v>
      </c>
      <c r="Q44" s="39">
        <f t="shared" si="14"/>
        <v>-95315.199999999793</v>
      </c>
      <c r="R44" s="41">
        <f t="shared" ref="R44:R62" si="17">Ybar*Q44/Ix</f>
        <v>-1987.4727091095101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8">K44+0.02</f>
        <v>0.66000000000000025</v>
      </c>
      <c r="L45" s="39">
        <f t="shared" si="15"/>
        <v>554.4000000000002</v>
      </c>
      <c r="M45" s="40">
        <f t="shared" ref="M45:M61" si="19">IF(AND(x &lt;= a, a &lt; L46), ( (L46-a)/(L46-x) * P/((x-L44)/2+(L46-x)/2) ), IF(AND(L44 &lt; a, a &lt;= x), (  (a - L44)/(x - L44)*P/((x-L44)/2+(L46-x)/2) ), 0))</f>
        <v>0</v>
      </c>
      <c r="N45" s="39">
        <f t="shared" ref="N45:N60" si="20">IF($L45&lt; a, P/(E*Ix)*($L45^3/6-a*$L45^2/2), P*a^2/(6*E*Ix)*(a-3*$L45))</f>
        <v>-68.702603211679332</v>
      </c>
      <c r="O45" s="39">
        <f t="shared" ref="O45:O60" ca="1" si="21">IF(x&lt;=a,Ra,0)</f>
        <v>848</v>
      </c>
      <c r="P45" s="39">
        <f t="shared" ca="1" si="16"/>
        <v>68.552833900661454</v>
      </c>
      <c r="Q45" s="39">
        <f t="shared" ref="Q45:Q60" si="22">IF(x&lt;=a,P*(x-a),0)</f>
        <v>-81068.799999999828</v>
      </c>
      <c r="R45" s="41">
        <f t="shared" si="17"/>
        <v>-1690.412731235491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8"/>
        <v>0.68000000000000027</v>
      </c>
      <c r="L46" s="39">
        <f t="shared" si="15"/>
        <v>571.20000000000027</v>
      </c>
      <c r="M46" s="40">
        <f t="shared" si="19"/>
        <v>0</v>
      </c>
      <c r="N46" s="39">
        <f t="shared" si="20"/>
        <v>-72.051572158933041</v>
      </c>
      <c r="O46" s="39">
        <f t="shared" ca="1" si="21"/>
        <v>848</v>
      </c>
      <c r="P46" s="39">
        <f t="shared" ca="1" si="16"/>
        <v>68.552833900661454</v>
      </c>
      <c r="Q46" s="39">
        <f t="shared" si="22"/>
        <v>-66822.399999999761</v>
      </c>
      <c r="R46" s="41">
        <f t="shared" si="17"/>
        <v>-1393.3527533614697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8"/>
        <v>0.70000000000000029</v>
      </c>
      <c r="L47" s="39">
        <f t="shared" si="15"/>
        <v>588.00000000000023</v>
      </c>
      <c r="M47" s="40">
        <f t="shared" si="19"/>
        <v>0</v>
      </c>
      <c r="N47" s="39">
        <f t="shared" si="20"/>
        <v>-75.421913925812234</v>
      </c>
      <c r="O47" s="39">
        <f t="shared" ca="1" si="21"/>
        <v>848</v>
      </c>
      <c r="P47" s="39">
        <f t="shared" ca="1" si="16"/>
        <v>68.552833900661454</v>
      </c>
      <c r="Q47" s="39">
        <f t="shared" si="22"/>
        <v>-52575.999999999811</v>
      </c>
      <c r="R47" s="41">
        <f t="shared" si="17"/>
        <v>-1096.2927754874506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>Q8</f>
        <v>-551200</v>
      </c>
      <c r="J48" s="87"/>
      <c r="K48" s="29">
        <f t="shared" si="18"/>
        <v>0.72000000000000031</v>
      </c>
      <c r="L48" s="39">
        <f t="shared" si="15"/>
        <v>604.8000000000003</v>
      </c>
      <c r="M48" s="40">
        <f t="shared" si="19"/>
        <v>0</v>
      </c>
      <c r="N48" s="39">
        <f t="shared" si="20"/>
        <v>-78.809071870569326</v>
      </c>
      <c r="O48" s="39">
        <f t="shared" ca="1" si="21"/>
        <v>848</v>
      </c>
      <c r="P48" s="39">
        <f t="shared" ca="1" si="16"/>
        <v>68.552833900661454</v>
      </c>
      <c r="Q48" s="39">
        <f t="shared" si="22"/>
        <v>-38329.599999999751</v>
      </c>
      <c r="R48" s="41">
        <f t="shared" si="17"/>
        <v>-799.23279761342951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8"/>
        <v>0.74000000000000032</v>
      </c>
      <c r="L49" s="39">
        <f t="shared" si="15"/>
        <v>621.60000000000025</v>
      </c>
      <c r="M49" s="40">
        <f t="shared" si="19"/>
        <v>0</v>
      </c>
      <c r="N49" s="39">
        <f t="shared" si="20"/>
        <v>-82.208489351456734</v>
      </c>
      <c r="O49" s="39">
        <f t="shared" ca="1" si="21"/>
        <v>848</v>
      </c>
      <c r="P49" s="39">
        <f t="shared" ca="1" si="16"/>
        <v>68.552833900661454</v>
      </c>
      <c r="Q49" s="39">
        <f t="shared" si="22"/>
        <v>-24083.199999999786</v>
      </c>
      <c r="R49" s="41">
        <f t="shared" si="17"/>
        <v>-502.17281973941022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8"/>
        <v>0.76000000000000034</v>
      </c>
      <c r="L50" s="39">
        <f t="shared" si="15"/>
        <v>638.40000000000032</v>
      </c>
      <c r="M50" s="40">
        <f t="shared" si="19"/>
        <v>15.623582766440759</v>
      </c>
      <c r="N50" s="39">
        <f t="shared" si="20"/>
        <v>-85.615609726726987</v>
      </c>
      <c r="O50" s="39">
        <f t="shared" ca="1" si="21"/>
        <v>848</v>
      </c>
      <c r="P50" s="39">
        <f t="shared" ca="1" si="16"/>
        <v>68.552833900661454</v>
      </c>
      <c r="Q50" s="39">
        <f t="shared" si="22"/>
        <v>-9836.7999999997301</v>
      </c>
      <c r="R50" s="41">
        <f t="shared" si="17"/>
        <v>-205.1128418653891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8"/>
        <v>0.78000000000000036</v>
      </c>
      <c r="L51" s="39">
        <f t="shared" si="15"/>
        <v>655.20000000000027</v>
      </c>
      <c r="M51" s="40">
        <f t="shared" si="19"/>
        <v>34.852607709749677</v>
      </c>
      <c r="N51" s="39">
        <f t="shared" si="20"/>
        <v>-89.025898875017916</v>
      </c>
      <c r="O51" s="39">
        <f t="shared" si="21"/>
        <v>0</v>
      </c>
      <c r="P51" s="39">
        <f t="shared" si="16"/>
        <v>0</v>
      </c>
      <c r="Q51" s="39">
        <f t="shared" si="22"/>
        <v>0</v>
      </c>
      <c r="R51" s="41">
        <f t="shared" si="17"/>
        <v>0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8"/>
        <v>0.80000000000000038</v>
      </c>
      <c r="L52" s="39">
        <f t="shared" si="15"/>
        <v>672.00000000000034</v>
      </c>
      <c r="M52" s="40">
        <f t="shared" si="19"/>
        <v>0</v>
      </c>
      <c r="N52" s="39">
        <f t="shared" si="20"/>
        <v>-92.436438023163944</v>
      </c>
      <c r="O52" s="39">
        <f t="shared" si="21"/>
        <v>0</v>
      </c>
      <c r="P52" s="39">
        <f t="shared" si="16"/>
        <v>0</v>
      </c>
      <c r="Q52" s="39">
        <f t="shared" si="22"/>
        <v>0</v>
      </c>
      <c r="R52" s="41">
        <f t="shared" si="17"/>
        <v>0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8"/>
        <v>0.8200000000000004</v>
      </c>
      <c r="L53" s="39">
        <f t="shared" si="15"/>
        <v>688.8000000000003</v>
      </c>
      <c r="M53" s="40">
        <f t="shared" si="19"/>
        <v>0</v>
      </c>
      <c r="N53" s="39">
        <f t="shared" si="20"/>
        <v>-95.846977171309959</v>
      </c>
      <c r="O53" s="39">
        <f t="shared" si="21"/>
        <v>0</v>
      </c>
      <c r="P53" s="39">
        <f t="shared" si="16"/>
        <v>0</v>
      </c>
      <c r="Q53" s="39">
        <f t="shared" si="22"/>
        <v>0</v>
      </c>
      <c r="R53" s="41">
        <f t="shared" si="17"/>
        <v>0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8"/>
        <v>0.84000000000000041</v>
      </c>
      <c r="L54" s="39">
        <f t="shared" si="15"/>
        <v>705.60000000000036</v>
      </c>
      <c r="M54" s="40">
        <f t="shared" si="19"/>
        <v>0</v>
      </c>
      <c r="N54" s="39">
        <f t="shared" si="20"/>
        <v>-99.257516319455988</v>
      </c>
      <c r="O54" s="39">
        <f t="shared" si="21"/>
        <v>0</v>
      </c>
      <c r="P54" s="39">
        <f t="shared" si="16"/>
        <v>0</v>
      </c>
      <c r="Q54" s="39">
        <f t="shared" si="22"/>
        <v>0</v>
      </c>
      <c r="R54" s="41">
        <f t="shared" si="17"/>
        <v>0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8"/>
        <v>0.86000000000000043</v>
      </c>
      <c r="L55" s="39">
        <f t="shared" si="15"/>
        <v>722.40000000000032</v>
      </c>
      <c r="M55" s="40">
        <f t="shared" si="19"/>
        <v>0</v>
      </c>
      <c r="N55" s="39">
        <f t="shared" si="20"/>
        <v>-102.66805546760199</v>
      </c>
      <c r="O55" s="39">
        <f t="shared" si="21"/>
        <v>0</v>
      </c>
      <c r="P55" s="39">
        <f t="shared" si="16"/>
        <v>0</v>
      </c>
      <c r="Q55" s="39">
        <f t="shared" si="22"/>
        <v>0</v>
      </c>
      <c r="R55" s="41">
        <f t="shared" si="17"/>
        <v>0</v>
      </c>
    </row>
    <row r="56" spans="1:18">
      <c r="A56" s="45"/>
      <c r="B56" s="45"/>
      <c r="C56" s="45"/>
      <c r="D56" s="129" t="s">
        <v>326</v>
      </c>
      <c r="E56" s="130">
        <f ca="1">((-(a^2)/2 + a^3/(3*L))*Ra + ((a - L)^3*Rb)/(3*L))/(E*Ix)</f>
        <v>-9.8281787621365774E-2</v>
      </c>
      <c r="F56" s="45"/>
      <c r="G56" s="45"/>
      <c r="H56" s="45"/>
      <c r="I56" s="45"/>
      <c r="J56" s="87"/>
      <c r="K56" s="29">
        <f t="shared" si="18"/>
        <v>0.88000000000000045</v>
      </c>
      <c r="L56" s="39">
        <f t="shared" si="15"/>
        <v>739.20000000000039</v>
      </c>
      <c r="M56" s="40">
        <f t="shared" si="19"/>
        <v>0</v>
      </c>
      <c r="N56" s="39">
        <f t="shared" si="20"/>
        <v>-106.07859461574803</v>
      </c>
      <c r="O56" s="39">
        <f t="shared" si="21"/>
        <v>0</v>
      </c>
      <c r="P56" s="39">
        <f t="shared" si="16"/>
        <v>0</v>
      </c>
      <c r="Q56" s="39">
        <f t="shared" si="22"/>
        <v>0</v>
      </c>
      <c r="R56" s="41">
        <f t="shared" si="17"/>
        <v>0</v>
      </c>
    </row>
    <row r="57" spans="1:18">
      <c r="A57" s="45"/>
      <c r="B57" s="45"/>
      <c r="C57" s="45"/>
      <c r="D57" s="129" t="s">
        <v>327</v>
      </c>
      <c r="E57" s="130">
        <f>0</f>
        <v>0</v>
      </c>
      <c r="F57" s="45"/>
      <c r="G57" s="45"/>
      <c r="H57" s="45"/>
      <c r="I57" s="45"/>
      <c r="J57" s="87"/>
      <c r="K57" s="29">
        <f t="shared" si="18"/>
        <v>0.90000000000000047</v>
      </c>
      <c r="L57" s="39">
        <f t="shared" si="15"/>
        <v>756.00000000000034</v>
      </c>
      <c r="M57" s="40">
        <f t="shared" si="19"/>
        <v>0</v>
      </c>
      <c r="N57" s="39">
        <f t="shared" si="20"/>
        <v>-109.48913376389403</v>
      </c>
      <c r="O57" s="39">
        <f t="shared" si="21"/>
        <v>0</v>
      </c>
      <c r="P57" s="39">
        <f t="shared" si="16"/>
        <v>0</v>
      </c>
      <c r="Q57" s="39">
        <f t="shared" si="22"/>
        <v>0</v>
      </c>
      <c r="R57" s="41">
        <f t="shared" si="17"/>
        <v>0</v>
      </c>
    </row>
    <row r="58" spans="1:18">
      <c r="A58" s="45"/>
      <c r="B58" s="45"/>
      <c r="C58" s="45"/>
      <c r="D58" s="129" t="s">
        <v>328</v>
      </c>
      <c r="E58" s="130">
        <f ca="1">(2*a^3*Ra + 2*a^3*Rb - 3*a^2*L*Rb - 2*L^3*Rb)/(6*(E*Ix)*L)</f>
        <v>0.10472649500637335</v>
      </c>
      <c r="F58" s="45"/>
      <c r="G58" s="45"/>
      <c r="H58" s="45"/>
      <c r="I58" s="45"/>
      <c r="J58" s="87"/>
      <c r="K58" s="29">
        <f t="shared" si="18"/>
        <v>0.92000000000000048</v>
      </c>
      <c r="L58" s="39">
        <f t="shared" si="15"/>
        <v>772.80000000000041</v>
      </c>
      <c r="M58" s="40">
        <f t="shared" si="19"/>
        <v>0</v>
      </c>
      <c r="N58" s="39">
        <f t="shared" si="20"/>
        <v>-112.89967291204009</v>
      </c>
      <c r="O58" s="39">
        <f t="shared" si="21"/>
        <v>0</v>
      </c>
      <c r="P58" s="39">
        <f t="shared" si="16"/>
        <v>0</v>
      </c>
      <c r="Q58" s="39">
        <f t="shared" si="22"/>
        <v>0</v>
      </c>
      <c r="R58" s="41">
        <f t="shared" si="17"/>
        <v>0</v>
      </c>
    </row>
    <row r="59" spans="1:18" ht="15">
      <c r="A59" s="45"/>
      <c r="B59" s="45"/>
      <c r="C59" s="131"/>
      <c r="D59" s="129" t="s">
        <v>329</v>
      </c>
      <c r="E59" s="130">
        <f ca="1">(a^2*(-2*a*Ra - 2*a*Rb + 3*L*Rb))/(6*(E*Ix))</f>
        <v>-87.970255805353617</v>
      </c>
      <c r="F59" s="45"/>
      <c r="G59" s="45"/>
      <c r="H59" s="45"/>
      <c r="I59" s="45"/>
      <c r="J59" s="87"/>
      <c r="K59" s="29">
        <f t="shared" si="18"/>
        <v>0.9400000000000005</v>
      </c>
      <c r="L59" s="39">
        <f t="shared" si="15"/>
        <v>789.60000000000048</v>
      </c>
      <c r="M59" s="40">
        <f t="shared" si="19"/>
        <v>0</v>
      </c>
      <c r="N59" s="39">
        <f t="shared" si="20"/>
        <v>-116.3102120601861</v>
      </c>
      <c r="O59" s="39">
        <f t="shared" si="21"/>
        <v>0</v>
      </c>
      <c r="P59" s="39">
        <f t="shared" si="16"/>
        <v>0</v>
      </c>
      <c r="Q59" s="39">
        <f t="shared" si="22"/>
        <v>0</v>
      </c>
      <c r="R59" s="41">
        <f t="shared" si="17"/>
        <v>0</v>
      </c>
    </row>
    <row r="60" spans="1:18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29">
        <f t="shared" si="18"/>
        <v>0.96000000000000052</v>
      </c>
      <c r="L60" s="39">
        <f t="shared" si="15"/>
        <v>806.40000000000043</v>
      </c>
      <c r="M60" s="40">
        <f t="shared" si="19"/>
        <v>0</v>
      </c>
      <c r="N60" s="39">
        <f t="shared" si="20"/>
        <v>-119.7207512083321</v>
      </c>
      <c r="O60" s="39">
        <f t="shared" si="21"/>
        <v>0</v>
      </c>
      <c r="P60" s="39">
        <f t="shared" si="16"/>
        <v>0</v>
      </c>
      <c r="Q60" s="39">
        <f t="shared" si="22"/>
        <v>0</v>
      </c>
      <c r="R60" s="41">
        <f t="shared" si="17"/>
        <v>0</v>
      </c>
    </row>
    <row r="61" spans="1:18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29">
        <f t="shared" si="18"/>
        <v>0.98000000000000054</v>
      </c>
      <c r="L61" s="39">
        <f t="shared" si="15"/>
        <v>823.2000000000005</v>
      </c>
      <c r="M61" s="40">
        <f t="shared" si="19"/>
        <v>0</v>
      </c>
      <c r="N61" s="39">
        <f>IF($L61&lt; a, P/(E*Ix)*($L61^3/6-a*$L61^2/2), P*a^2/(6*E*Ix)*(a-3*$L61))</f>
        <v>-123.13129035647812</v>
      </c>
      <c r="O61" s="39">
        <f>IF(x&lt;=a,Ra,0)</f>
        <v>0</v>
      </c>
      <c r="P61" s="39">
        <f t="shared" si="16"/>
        <v>0</v>
      </c>
      <c r="Q61" s="39">
        <f>IF(x&lt;=a,P*(x-a),0)</f>
        <v>0</v>
      </c>
      <c r="R61" s="41">
        <f t="shared" si="17"/>
        <v>0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8"/>
        <v>1.0000000000000004</v>
      </c>
      <c r="L62" s="42">
        <f t="shared" si="15"/>
        <v>840.00000000000034</v>
      </c>
      <c r="M62" s="43">
        <f>IF(AND(L61 &lt; a, a &lt;= x), (  (a - L61)/(x - L61)*P/((x-L61)) ), 0)</f>
        <v>0</v>
      </c>
      <c r="N62" s="42">
        <f>IF($L62&lt; a, P/(E*Ix)*($L62^3/6-a*$L62^2/2), P*a^2/(6*E*Ix)*(a-3*$L62))</f>
        <v>-126.54182950462412</v>
      </c>
      <c r="O62" s="42">
        <f>IF(x&lt;=a,Ra,0)</f>
        <v>0</v>
      </c>
      <c r="P62" s="42">
        <f t="shared" si="16"/>
        <v>0</v>
      </c>
      <c r="Q62" s="42">
        <f>IF(x&lt;=a,P*(x-a),0)</f>
        <v>0</v>
      </c>
      <c r="R62" s="44">
        <f t="shared" si="17"/>
        <v>0</v>
      </c>
    </row>
    <row r="63" spans="1:18" ht="13.5" thickTop="1">
      <c r="J63" s="320"/>
    </row>
    <row r="64" spans="1:18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honeticPr fontId="23" type="noConversion"/>
  <printOptions horizontalCentered="1" verticalCentered="1" gridLinesSet="0"/>
  <pageMargins left="0.75" right="0.75" top="0.6" bottom="0.6" header="0.5" footer="0.5"/>
  <pageSetup scale="63" orientation="landscape" horizontalDpi="4294967292" verticalDpi="4294967292" r:id="rId1"/>
  <headerFooter alignWithMargins="0"/>
  <drawing r:id="rId2"/>
  <legacyDrawing r:id="rId3"/>
  <oleObjects>
    <oleObject progId="MSPhotoEd.3" shapeId="15219" r:id="rId4"/>
    <oleObject progId="MSPhotoEd.3" shapeId="15220" r:id="rId5"/>
  </oleObjects>
</worksheet>
</file>

<file path=xl/worksheets/sheet11.xml><?xml version="1.0" encoding="utf-8"?>
<worksheet xmlns="http://schemas.openxmlformats.org/spreadsheetml/2006/main" xmlns:r="http://schemas.openxmlformats.org/officeDocument/2006/relationships">
  <sheetPr syncHorizontal="1" syncRef="A1" codeName="Sheet12">
    <pageSetUpPr fitToPage="1"/>
  </sheetPr>
  <dimension ref="A1:S96"/>
  <sheetViews>
    <sheetView showGridLines="0" defaultGridColor="0" colorId="8" workbookViewId="0">
      <selection sqref="A1:A1048576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11.42578125" style="304" customWidth="1"/>
    <col min="8" max="8" width="4.7109375" style="304" customWidth="1"/>
    <col min="9" max="9" width="10.5703125" style="304" customWidth="1"/>
    <col min="10" max="10" width="2" style="304" customWidth="1"/>
    <col min="11" max="11" width="8.5703125" style="304" customWidth="1"/>
    <col min="12" max="12" width="8.28515625" style="304" customWidth="1"/>
    <col min="13" max="16384" width="10.7109375" style="304"/>
  </cols>
  <sheetData>
    <row r="1" spans="1:19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  <c r="S2" s="75"/>
    </row>
    <row r="3" spans="1:19" ht="13.5" thickBot="1">
      <c r="A3" s="98"/>
      <c r="B3" s="101"/>
      <c r="C3" s="102" t="s">
        <v>347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7.25" thickTop="1" thickBot="1">
      <c r="A4" s="98"/>
      <c r="B4" s="57"/>
      <c r="C4" s="104" t="s">
        <v>291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291</v>
      </c>
      <c r="M4" s="49"/>
      <c r="N4" s="45"/>
      <c r="O4" s="45"/>
      <c r="P4" s="45"/>
      <c r="Q4" s="45"/>
      <c r="R4" s="45"/>
      <c r="S4" s="45"/>
    </row>
    <row r="5" spans="1:19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294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  <c r="S5" s="55" t="s">
        <v>299</v>
      </c>
    </row>
    <row r="6" spans="1:19" ht="17.25" thickTop="1" thickBot="1">
      <c r="A6" s="107"/>
      <c r="B6" s="108" t="s">
        <v>252</v>
      </c>
      <c r="C6" s="96"/>
      <c r="D6" s="96"/>
      <c r="E6" s="96"/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 t="s">
        <v>302</v>
      </c>
      <c r="N6" s="63"/>
      <c r="O6" s="61" t="s">
        <v>71</v>
      </c>
      <c r="P6" s="61" t="s">
        <v>303</v>
      </c>
      <c r="Q6" s="61" t="s">
        <v>252</v>
      </c>
      <c r="R6" s="64" t="s">
        <v>303</v>
      </c>
      <c r="S6" s="62" t="s">
        <v>252</v>
      </c>
    </row>
    <row r="7" spans="1:19" ht="14.25" thickTop="1" thickBot="1">
      <c r="A7" s="107"/>
      <c r="B7" s="108" t="s">
        <v>260</v>
      </c>
      <c r="C7" s="96"/>
      <c r="D7" s="96" t="s">
        <v>252</v>
      </c>
      <c r="E7" s="96"/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">
        <v>305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  <c r="S7" s="70" t="str">
        <f>SUBSTITUTE(SUBSTITUTE("M/D", "M", D9), "D", DistanceUnits)</f>
        <v>in-lb/in</v>
      </c>
    </row>
    <row r="8" spans="1:19" ht="17.25" thickTop="1" thickBot="1">
      <c r="A8" s="110"/>
      <c r="B8" s="111" t="s">
        <v>306</v>
      </c>
      <c r="C8" s="112"/>
      <c r="D8" s="112" t="s">
        <v>307</v>
      </c>
      <c r="E8" s="113"/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S8" si="0">MIN(M12:M62)</f>
        <v>0</v>
      </c>
      <c r="N8" s="27">
        <f t="shared" si="0"/>
        <v>-34.864468393107728</v>
      </c>
      <c r="O8" s="27">
        <f t="shared" si="0"/>
        <v>0</v>
      </c>
      <c r="P8" s="27">
        <f t="shared" si="0"/>
        <v>0</v>
      </c>
      <c r="Q8" s="27">
        <f t="shared" si="0"/>
        <v>-77000</v>
      </c>
      <c r="R8" s="28">
        <f t="shared" si="0"/>
        <v>-1605.5718143741251</v>
      </c>
      <c r="S8" s="26">
        <f t="shared" si="0"/>
        <v>0</v>
      </c>
    </row>
    <row r="9" spans="1:19" ht="14.25" thickTop="1" thickBot="1">
      <c r="A9" s="110"/>
      <c r="B9" s="115" t="str">
        <f>[0]!DistanceUnits</f>
        <v>in</v>
      </c>
      <c r="C9" s="116"/>
      <c r="D9" s="116" t="str">
        <f>IF(ActiveUnits="SI", SUBSTITUTE(SUBSTITUTE("F-D", "F", ForceUnits), "D", DistanceUnits), SUBSTITUTE(SUBSTITUTE("D-F", "F", ForceUnits), "D", DistanceUnits))</f>
        <v>in-lb</v>
      </c>
      <c r="E9" s="117"/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S9" si="1">MAX(M12:M62)</f>
        <v>0</v>
      </c>
      <c r="N9" s="32">
        <f t="shared" si="1"/>
        <v>0</v>
      </c>
      <c r="O9" s="32">
        <f t="shared" si="1"/>
        <v>0</v>
      </c>
      <c r="P9" s="32">
        <f t="shared" si="1"/>
        <v>0</v>
      </c>
      <c r="Q9" s="32">
        <f t="shared" si="1"/>
        <v>0</v>
      </c>
      <c r="R9" s="33">
        <f t="shared" si="1"/>
        <v>0</v>
      </c>
      <c r="S9" s="31">
        <f t="shared" si="1"/>
        <v>3091.3628472221744</v>
      </c>
    </row>
    <row r="10" spans="1:19" ht="14.25" thickTop="1" thickBot="1">
      <c r="A10" s="110"/>
      <c r="B10" s="666">
        <v>610</v>
      </c>
      <c r="C10" s="119"/>
      <c r="D10" s="665">
        <v>77000</v>
      </c>
      <c r="E10" s="120"/>
      <c r="F10" s="8">
        <v>960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S10" si="2">IF(M9&gt;ABS(M8),M9,M8)</f>
        <v>0</v>
      </c>
      <c r="N10" s="32">
        <f t="shared" si="2"/>
        <v>-34.864468393107728</v>
      </c>
      <c r="O10" s="32">
        <f t="shared" si="2"/>
        <v>0</v>
      </c>
      <c r="P10" s="32">
        <f t="shared" si="2"/>
        <v>0</v>
      </c>
      <c r="Q10" s="32">
        <f t="shared" si="2"/>
        <v>-77000</v>
      </c>
      <c r="R10" s="33">
        <f t="shared" si="2"/>
        <v>-1605.5718143741251</v>
      </c>
      <c r="S10" s="31">
        <f t="shared" si="2"/>
        <v>3091.3628472221744</v>
      </c>
    </row>
    <row r="11" spans="1:19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S11" ca="1" si="3">OFFSET($L$11,MATCH(M10,M12:M62,0),0)</f>
        <v>0</v>
      </c>
      <c r="N11" s="37">
        <f t="shared" ca="1" si="3"/>
        <v>960.00000000000045</v>
      </c>
      <c r="O11" s="37">
        <f t="shared" ca="1" si="3"/>
        <v>0</v>
      </c>
      <c r="P11" s="37">
        <f t="shared" ca="1" si="3"/>
        <v>0</v>
      </c>
      <c r="Q11" s="37">
        <f t="shared" ca="1" si="3"/>
        <v>0</v>
      </c>
      <c r="R11" s="38">
        <f t="shared" ca="1" si="3"/>
        <v>0</v>
      </c>
      <c r="S11" s="36">
        <f t="shared" ca="1" si="3"/>
        <v>614.4000000000002</v>
      </c>
    </row>
    <row r="12" spans="1:19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v>0</v>
      </c>
      <c r="N12" s="39">
        <f>IF(AND(0 &lt;= x, x &lt;= a), a_C2 + a_C1*x - (Ma*x^2)/(2*(E*Ix)), a_C2p + a_C1p*x)</f>
        <v>0</v>
      </c>
      <c r="O12" s="39">
        <f>0</f>
        <v>0</v>
      </c>
      <c r="P12" s="39">
        <f t="shared" ref="P12:P43" si="5">V/A_CS</f>
        <v>0</v>
      </c>
      <c r="Q12" s="39">
        <f>IF(x &lt;= a,-M,0)</f>
        <v>-77000</v>
      </c>
      <c r="R12" s="41">
        <f t="shared" ref="R12:R43" si="6">Ybar*Q12/Ix</f>
        <v>-1605.5718143741251</v>
      </c>
      <c r="S12" s="40">
        <f>IF(AND(x &lt;= a, a &lt; L13), ( (L13-a)/(L13-x) * M/((L13-x)) ),  0)</f>
        <v>0</v>
      </c>
    </row>
    <row r="13" spans="1:19">
      <c r="A13" s="336" t="s">
        <v>348</v>
      </c>
      <c r="B13" s="121"/>
      <c r="C13" s="122"/>
      <c r="D13" s="123" t="s">
        <v>252</v>
      </c>
      <c r="E13" s="122"/>
      <c r="F13" s="121"/>
      <c r="G13" s="661">
        <f>A_CS*L</f>
        <v>11875.220230569419</v>
      </c>
      <c r="H13" s="45"/>
      <c r="I13" s="662">
        <f>G13*[0]!Density</f>
        <v>902.51673752327588</v>
      </c>
      <c r="J13" s="45"/>
      <c r="K13" s="29">
        <f t="shared" ref="K13:K44" si="7">K12+0.02</f>
        <v>0.02</v>
      </c>
      <c r="L13" s="39">
        <f t="shared" si="4"/>
        <v>19.2</v>
      </c>
      <c r="M13" s="40">
        <v>0</v>
      </c>
      <c r="N13" s="39">
        <f t="shared" ref="N13:N28" si="8">IF(AND(0 &lt;= x, x &lt;= a), a_C2 + a_C1*x - (Ma*x^2)/(2*(E*Ix)), a_C2p + a_C1p*x)</f>
        <v>-1.6083641131817324E-2</v>
      </c>
      <c r="O13" s="39">
        <f>0</f>
        <v>0</v>
      </c>
      <c r="P13" s="39">
        <f t="shared" si="5"/>
        <v>0</v>
      </c>
      <c r="Q13" s="39">
        <f t="shared" ref="Q13:Q28" si="9">IF(x &lt;= a,-M,0)</f>
        <v>-77000</v>
      </c>
      <c r="R13" s="41">
        <f t="shared" si="6"/>
        <v>-1605.5718143741251</v>
      </c>
      <c r="S13" s="40">
        <f t="shared" ref="S13:S44" si="10">IF(AND(x &lt;= a, a &lt; L14), ( (L14-a)/(L14-x) * M/((x-L12)/2+(L14-x)/2) ), IF(AND(L12 &lt; a, a &lt;= x), (  (a - L12)/(x - L12)*M/((x-L12)/2+(L14-x)/2) ), 0))</f>
        <v>0</v>
      </c>
    </row>
    <row r="14" spans="1:19" ht="13.5" thickBot="1">
      <c r="A14" s="94">
        <f>M</f>
        <v>77000</v>
      </c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7"/>
        <v>0.04</v>
      </c>
      <c r="L14" s="39">
        <f t="shared" si="4"/>
        <v>38.4</v>
      </c>
      <c r="M14" s="40">
        <v>0</v>
      </c>
      <c r="N14" s="39">
        <f t="shared" si="8"/>
        <v>-6.4334564527269295E-2</v>
      </c>
      <c r="O14" s="39">
        <f>0</f>
        <v>0</v>
      </c>
      <c r="P14" s="39">
        <f t="shared" si="5"/>
        <v>0</v>
      </c>
      <c r="Q14" s="39">
        <f t="shared" si="9"/>
        <v>-77000</v>
      </c>
      <c r="R14" s="41">
        <f t="shared" si="6"/>
        <v>-1605.5718143741251</v>
      </c>
      <c r="S14" s="40">
        <f t="shared" si="10"/>
        <v>0</v>
      </c>
    </row>
    <row r="15" spans="1:19" ht="14.25" thickTop="1" thickBot="1">
      <c r="A15" s="94" t="str">
        <f>IF(ActiveUnits="SI", SUBSTITUTE(SUBSTITUTE("F-D", "F", ForceUnits), "D", DistanceUnits), SUBSTITUTE(SUBSTITUTE("D-F", "F", ForceUnits), "D", DistanceUnits))</f>
        <v>in-lb</v>
      </c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7"/>
        <v>0.06</v>
      </c>
      <c r="L15" s="39">
        <f t="shared" si="4"/>
        <v>57.599999999999994</v>
      </c>
      <c r="M15" s="40">
        <v>0</v>
      </c>
      <c r="N15" s="39">
        <f t="shared" si="8"/>
        <v>-0.14475277018635588</v>
      </c>
      <c r="O15" s="39">
        <f>0</f>
        <v>0</v>
      </c>
      <c r="P15" s="39">
        <f t="shared" si="5"/>
        <v>0</v>
      </c>
      <c r="Q15" s="39">
        <f t="shared" si="9"/>
        <v>-77000</v>
      </c>
      <c r="R15" s="41">
        <f t="shared" si="6"/>
        <v>-1605.5718143741251</v>
      </c>
      <c r="S15" s="40">
        <f t="shared" si="10"/>
        <v>0</v>
      </c>
    </row>
    <row r="16" spans="1:19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7"/>
        <v>0.08</v>
      </c>
      <c r="L16" s="39">
        <f t="shared" si="4"/>
        <v>76.8</v>
      </c>
      <c r="M16" s="40">
        <v>0</v>
      </c>
      <c r="N16" s="39">
        <f t="shared" si="8"/>
        <v>-0.25733825810907718</v>
      </c>
      <c r="O16" s="39">
        <f>0</f>
        <v>0</v>
      </c>
      <c r="P16" s="39">
        <f t="shared" si="5"/>
        <v>0</v>
      </c>
      <c r="Q16" s="39">
        <f t="shared" si="9"/>
        <v>-77000</v>
      </c>
      <c r="R16" s="41">
        <f t="shared" si="6"/>
        <v>-1605.5718143741251</v>
      </c>
      <c r="S16" s="40">
        <f t="shared" si="10"/>
        <v>0</v>
      </c>
    </row>
    <row r="17" spans="1:19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7"/>
        <v>0.1</v>
      </c>
      <c r="L17" s="39">
        <f t="shared" si="4"/>
        <v>96</v>
      </c>
      <c r="M17" s="40">
        <v>0</v>
      </c>
      <c r="N17" s="39">
        <f t="shared" si="8"/>
        <v>-0.40209102829543308</v>
      </c>
      <c r="O17" s="39">
        <f>0</f>
        <v>0</v>
      </c>
      <c r="P17" s="39">
        <f t="shared" si="5"/>
        <v>0</v>
      </c>
      <c r="Q17" s="39">
        <f t="shared" si="9"/>
        <v>-77000</v>
      </c>
      <c r="R17" s="41">
        <f t="shared" si="6"/>
        <v>-1605.5718143741251</v>
      </c>
      <c r="S17" s="40">
        <f t="shared" si="10"/>
        <v>0</v>
      </c>
    </row>
    <row r="18" spans="1:19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7"/>
        <v>0.12000000000000001</v>
      </c>
      <c r="L18" s="39">
        <f t="shared" si="4"/>
        <v>115.2</v>
      </c>
      <c r="M18" s="40">
        <v>0</v>
      </c>
      <c r="N18" s="39">
        <f t="shared" si="8"/>
        <v>-0.57901108074542373</v>
      </c>
      <c r="O18" s="39">
        <f>0</f>
        <v>0</v>
      </c>
      <c r="P18" s="39">
        <f t="shared" si="5"/>
        <v>0</v>
      </c>
      <c r="Q18" s="39">
        <f t="shared" si="9"/>
        <v>-77000</v>
      </c>
      <c r="R18" s="41">
        <f t="shared" si="6"/>
        <v>-1605.5718143741251</v>
      </c>
      <c r="S18" s="40">
        <f t="shared" si="10"/>
        <v>0</v>
      </c>
    </row>
    <row r="19" spans="1:19" ht="13.5" thickBot="1">
      <c r="A19" s="45"/>
      <c r="B19" s="121"/>
      <c r="C19" s="122"/>
      <c r="D19" s="125"/>
      <c r="E19" s="126"/>
      <c r="F19" s="121"/>
      <c r="G19" s="45"/>
      <c r="H19" s="45"/>
      <c r="I19" s="85">
        <f>IF(ABS(R10)/[0]!Strength &lt; 1, ABS(R10)/[0]!Strength, "FAILED.")</f>
        <v>6.6898825598921879E-2</v>
      </c>
      <c r="J19" s="45"/>
      <c r="K19" s="29">
        <f t="shared" si="7"/>
        <v>0.14000000000000001</v>
      </c>
      <c r="L19" s="39">
        <f t="shared" si="4"/>
        <v>134.4</v>
      </c>
      <c r="M19" s="40">
        <v>0</v>
      </c>
      <c r="N19" s="39">
        <f t="shared" si="8"/>
        <v>-0.7880984154590488</v>
      </c>
      <c r="O19" s="39">
        <f>0</f>
        <v>0</v>
      </c>
      <c r="P19" s="39">
        <f t="shared" si="5"/>
        <v>0</v>
      </c>
      <c r="Q19" s="39">
        <f t="shared" si="9"/>
        <v>-77000</v>
      </c>
      <c r="R19" s="41">
        <f t="shared" si="6"/>
        <v>-1605.5718143741251</v>
      </c>
      <c r="S19" s="40">
        <f t="shared" si="10"/>
        <v>0</v>
      </c>
    </row>
    <row r="20" spans="1:19" ht="14.25" thickTop="1" thickBot="1">
      <c r="A20" s="45"/>
      <c r="B20" s="96"/>
      <c r="C20" s="121"/>
      <c r="D20" s="121"/>
      <c r="E20" s="121"/>
      <c r="F20" s="96"/>
      <c r="G20" s="45"/>
      <c r="H20" s="45"/>
      <c r="I20" s="45"/>
      <c r="J20" s="45"/>
      <c r="K20" s="29">
        <f t="shared" si="7"/>
        <v>0.16</v>
      </c>
      <c r="L20" s="39">
        <f t="shared" si="4"/>
        <v>153.6</v>
      </c>
      <c r="M20" s="40">
        <v>0</v>
      </c>
      <c r="N20" s="39">
        <f t="shared" si="8"/>
        <v>-1.0293530324363087</v>
      </c>
      <c r="O20" s="39">
        <f>0</f>
        <v>0</v>
      </c>
      <c r="P20" s="39">
        <f t="shared" si="5"/>
        <v>0</v>
      </c>
      <c r="Q20" s="39">
        <f t="shared" si="9"/>
        <v>-77000</v>
      </c>
      <c r="R20" s="41">
        <f t="shared" si="6"/>
        <v>-1605.5718143741251</v>
      </c>
      <c r="S20" s="40">
        <f t="shared" si="10"/>
        <v>0</v>
      </c>
    </row>
    <row r="21" spans="1:19" ht="13.5" thickTop="1">
      <c r="A21" s="45"/>
      <c r="B21" s="97"/>
      <c r="C21" s="121"/>
      <c r="D21" s="121"/>
      <c r="E21" s="121"/>
      <c r="F21" s="97"/>
      <c r="G21" s="88" t="s">
        <v>320</v>
      </c>
      <c r="H21" s="45"/>
      <c r="I21" s="80" t="s">
        <v>318</v>
      </c>
      <c r="J21" s="45"/>
      <c r="K21" s="29">
        <f t="shared" si="7"/>
        <v>0.18</v>
      </c>
      <c r="L21" s="39">
        <f t="shared" si="4"/>
        <v>172.79999999999998</v>
      </c>
      <c r="M21" s="40">
        <v>0</v>
      </c>
      <c r="N21" s="39">
        <f t="shared" si="8"/>
        <v>-1.3027749316772028</v>
      </c>
      <c r="O21" s="39">
        <f>0</f>
        <v>0</v>
      </c>
      <c r="P21" s="39">
        <f t="shared" si="5"/>
        <v>0</v>
      </c>
      <c r="Q21" s="39">
        <f t="shared" si="9"/>
        <v>-77000</v>
      </c>
      <c r="R21" s="41">
        <f t="shared" si="6"/>
        <v>-1605.5718143741251</v>
      </c>
      <c r="S21" s="40">
        <f t="shared" si="10"/>
        <v>0</v>
      </c>
    </row>
    <row r="22" spans="1:19">
      <c r="A22" s="110" t="s">
        <v>316</v>
      </c>
      <c r="B22" s="127"/>
      <c r="C22" s="121"/>
      <c r="D22" s="121"/>
      <c r="E22" s="121"/>
      <c r="F22" s="127"/>
      <c r="G22" s="90" t="s">
        <v>322</v>
      </c>
      <c r="H22" s="45"/>
      <c r="I22" s="82" t="s">
        <v>296</v>
      </c>
      <c r="J22" s="45"/>
      <c r="K22" s="29">
        <f t="shared" si="7"/>
        <v>0.19999999999999998</v>
      </c>
      <c r="L22" s="39">
        <f t="shared" si="4"/>
        <v>191.99999999999997</v>
      </c>
      <c r="M22" s="40">
        <v>0</v>
      </c>
      <c r="N22" s="39">
        <f t="shared" si="8"/>
        <v>-1.6083641131817319</v>
      </c>
      <c r="O22" s="39">
        <f>0</f>
        <v>0</v>
      </c>
      <c r="P22" s="39">
        <f t="shared" si="5"/>
        <v>0</v>
      </c>
      <c r="Q22" s="39">
        <f t="shared" si="9"/>
        <v>-77000</v>
      </c>
      <c r="R22" s="41">
        <f t="shared" si="6"/>
        <v>-1605.5718143741251</v>
      </c>
      <c r="S22" s="40">
        <f t="shared" si="10"/>
        <v>0</v>
      </c>
    </row>
    <row r="23" spans="1:19">
      <c r="A23" s="94">
        <f ca="1">IF(IsValidUser, 0,"Time To Pay")</f>
        <v>0</v>
      </c>
      <c r="B23" s="121"/>
      <c r="C23" s="121"/>
      <c r="D23" s="128" t="s">
        <v>319</v>
      </c>
      <c r="E23" s="121"/>
      <c r="F23" s="121"/>
      <c r="G23" s="82">
        <f>DEGREES(a_C1p)</f>
        <v>-3.04975098304172</v>
      </c>
      <c r="H23" s="45"/>
      <c r="I23" s="86" t="s">
        <v>303</v>
      </c>
      <c r="J23" s="45"/>
      <c r="K23" s="29">
        <f t="shared" si="7"/>
        <v>0.21999999999999997</v>
      </c>
      <c r="L23" s="39">
        <f t="shared" si="4"/>
        <v>211.2</v>
      </c>
      <c r="M23" s="40">
        <v>0</v>
      </c>
      <c r="N23" s="39">
        <f t="shared" si="8"/>
        <v>-1.9461205769498959</v>
      </c>
      <c r="O23" s="39">
        <f>0</f>
        <v>0</v>
      </c>
      <c r="P23" s="39">
        <f t="shared" si="5"/>
        <v>0</v>
      </c>
      <c r="Q23" s="39">
        <f t="shared" si="9"/>
        <v>-77000</v>
      </c>
      <c r="R23" s="41">
        <f t="shared" si="6"/>
        <v>-1605.5718143741251</v>
      </c>
      <c r="S23" s="40">
        <f t="shared" si="10"/>
        <v>0</v>
      </c>
    </row>
    <row r="24" spans="1:19" ht="13.5" thickBot="1">
      <c r="A24" s="94" t="str">
        <f>ForceUnits</f>
        <v>lb</v>
      </c>
      <c r="B24" s="121"/>
      <c r="C24" s="121"/>
      <c r="D24" s="121"/>
      <c r="E24" s="121"/>
      <c r="F24" s="121"/>
      <c r="G24" s="84" t="s">
        <v>323</v>
      </c>
      <c r="H24" s="45"/>
      <c r="I24" s="85">
        <f>IF(ABS(P10)/[0]!Strength &lt; 1, ABS(P10)/[0]!Strength, "FAILED.")</f>
        <v>0</v>
      </c>
      <c r="J24" s="45"/>
      <c r="K24" s="29">
        <f t="shared" si="7"/>
        <v>0.23999999999999996</v>
      </c>
      <c r="L24" s="39">
        <f t="shared" si="4"/>
        <v>230.39999999999998</v>
      </c>
      <c r="M24" s="40">
        <v>0</v>
      </c>
      <c r="N24" s="39">
        <f t="shared" si="8"/>
        <v>-2.316044322981694</v>
      </c>
      <c r="O24" s="39">
        <f>0</f>
        <v>0</v>
      </c>
      <c r="P24" s="39">
        <f t="shared" si="5"/>
        <v>0</v>
      </c>
      <c r="Q24" s="39">
        <f t="shared" si="9"/>
        <v>-77000</v>
      </c>
      <c r="R24" s="41">
        <f t="shared" si="6"/>
        <v>-1605.5718143741251</v>
      </c>
      <c r="S24" s="40">
        <f t="shared" si="10"/>
        <v>0</v>
      </c>
    </row>
    <row r="25" spans="1:19" ht="14.25" thickTop="1" thickBot="1">
      <c r="A25" s="45"/>
      <c r="B25" s="121"/>
      <c r="C25" s="121"/>
      <c r="D25" s="121"/>
      <c r="E25" s="121"/>
      <c r="F25" s="121"/>
      <c r="G25" s="45"/>
      <c r="H25" s="45"/>
      <c r="I25" s="45"/>
      <c r="J25" s="87"/>
      <c r="K25" s="29">
        <f t="shared" si="7"/>
        <v>0.25999999999999995</v>
      </c>
      <c r="L25" s="39">
        <f t="shared" si="4"/>
        <v>249.59999999999997</v>
      </c>
      <c r="M25" s="40">
        <v>0</v>
      </c>
      <c r="N25" s="39">
        <f t="shared" si="8"/>
        <v>-2.7181353512771271</v>
      </c>
      <c r="O25" s="39">
        <f>0</f>
        <v>0</v>
      </c>
      <c r="P25" s="39">
        <f t="shared" si="5"/>
        <v>0</v>
      </c>
      <c r="Q25" s="39">
        <f t="shared" si="9"/>
        <v>-77000</v>
      </c>
      <c r="R25" s="41">
        <f t="shared" si="6"/>
        <v>-1605.5718143741251</v>
      </c>
      <c r="S25" s="40">
        <f t="shared" si="10"/>
        <v>0</v>
      </c>
    </row>
    <row r="26" spans="1:19" ht="13.5" thickTop="1">
      <c r="A26" s="45"/>
      <c r="B26" s="121"/>
      <c r="C26" s="121"/>
      <c r="D26" s="121"/>
      <c r="E26" s="121"/>
      <c r="F26" s="121"/>
      <c r="G26" s="45"/>
      <c r="H26" s="45"/>
      <c r="I26" s="89" t="s">
        <v>321</v>
      </c>
      <c r="J26" s="87"/>
      <c r="K26" s="29">
        <f t="shared" si="7"/>
        <v>0.27999999999999997</v>
      </c>
      <c r="L26" s="39">
        <f t="shared" si="4"/>
        <v>268.79999999999995</v>
      </c>
      <c r="M26" s="40">
        <v>0</v>
      </c>
      <c r="N26" s="39">
        <f t="shared" si="8"/>
        <v>-3.1523936618361943</v>
      </c>
      <c r="O26" s="39">
        <f>0</f>
        <v>0</v>
      </c>
      <c r="P26" s="39">
        <f t="shared" si="5"/>
        <v>0</v>
      </c>
      <c r="Q26" s="39">
        <f t="shared" si="9"/>
        <v>-77000</v>
      </c>
      <c r="R26" s="41">
        <f t="shared" si="6"/>
        <v>-1605.5718143741251</v>
      </c>
      <c r="S26" s="40">
        <f t="shared" si="10"/>
        <v>0</v>
      </c>
    </row>
    <row r="27" spans="1:19">
      <c r="A27" s="45"/>
      <c r="B27" s="121"/>
      <c r="C27" s="121"/>
      <c r="D27" s="121"/>
      <c r="E27" s="121"/>
      <c r="F27" s="121"/>
      <c r="G27" s="45"/>
      <c r="H27" s="45"/>
      <c r="I27" s="91" t="s">
        <v>295</v>
      </c>
      <c r="J27" s="87"/>
      <c r="K27" s="29">
        <f t="shared" si="7"/>
        <v>0.3</v>
      </c>
      <c r="L27" s="39">
        <f t="shared" si="4"/>
        <v>288</v>
      </c>
      <c r="M27" s="40">
        <v>0</v>
      </c>
      <c r="N27" s="39">
        <f t="shared" si="8"/>
        <v>-3.6188192546588978</v>
      </c>
      <c r="O27" s="39">
        <f>0</f>
        <v>0</v>
      </c>
      <c r="P27" s="39">
        <f t="shared" si="5"/>
        <v>0</v>
      </c>
      <c r="Q27" s="39">
        <f t="shared" si="9"/>
        <v>-77000</v>
      </c>
      <c r="R27" s="41">
        <f t="shared" si="6"/>
        <v>-1605.5718143741251</v>
      </c>
      <c r="S27" s="40">
        <f t="shared" si="10"/>
        <v>0</v>
      </c>
    </row>
    <row r="28" spans="1:19">
      <c r="A28" s="45"/>
      <c r="B28" s="121"/>
      <c r="C28" s="121"/>
      <c r="D28" s="121"/>
      <c r="E28" s="121"/>
      <c r="F28" s="121"/>
      <c r="G28" s="45"/>
      <c r="H28" s="45"/>
      <c r="I28" s="664">
        <f>N10</f>
        <v>-34.864468393107728</v>
      </c>
      <c r="J28" s="87"/>
      <c r="K28" s="29">
        <f t="shared" si="7"/>
        <v>0.32</v>
      </c>
      <c r="L28" s="39">
        <f t="shared" si="4"/>
        <v>307.2</v>
      </c>
      <c r="M28" s="40">
        <v>0</v>
      </c>
      <c r="N28" s="39">
        <f t="shared" si="8"/>
        <v>-4.1174121297452349</v>
      </c>
      <c r="O28" s="39">
        <f>0</f>
        <v>0</v>
      </c>
      <c r="P28" s="39">
        <f t="shared" si="5"/>
        <v>0</v>
      </c>
      <c r="Q28" s="39">
        <f t="shared" si="9"/>
        <v>-77000</v>
      </c>
      <c r="R28" s="41">
        <f t="shared" si="6"/>
        <v>-1605.5718143741251</v>
      </c>
      <c r="S28" s="40">
        <f t="shared" si="10"/>
        <v>0</v>
      </c>
    </row>
    <row r="29" spans="1:19" ht="13.5" thickBot="1">
      <c r="A29" s="45"/>
      <c r="B29" s="121"/>
      <c r="C29" s="121"/>
      <c r="D29" s="121"/>
      <c r="E29" s="121"/>
      <c r="F29" s="121"/>
      <c r="G29" s="45"/>
      <c r="H29" s="45"/>
      <c r="I29" s="92" t="str">
        <f>DistanceUnits</f>
        <v>in</v>
      </c>
      <c r="J29" s="87"/>
      <c r="K29" s="29">
        <f t="shared" si="7"/>
        <v>0.34</v>
      </c>
      <c r="L29" s="39">
        <f t="shared" si="4"/>
        <v>326.40000000000003</v>
      </c>
      <c r="M29" s="40">
        <v>0</v>
      </c>
      <c r="N29" s="39">
        <f t="shared" ref="N29:N44" si="11">IF(AND(0 &lt;= x, x &lt;= a), a_C2 + a_C1*x - (Ma*x^2)/(2*(E*Ix)), a_C2p + a_C1p*x)</f>
        <v>-4.6481722870952078</v>
      </c>
      <c r="O29" s="39">
        <f>0</f>
        <v>0</v>
      </c>
      <c r="P29" s="39">
        <f t="shared" si="5"/>
        <v>0</v>
      </c>
      <c r="Q29" s="39">
        <f t="shared" ref="Q29:Q44" si="12">IF(x &lt;= a,-M,0)</f>
        <v>-77000</v>
      </c>
      <c r="R29" s="41">
        <f t="shared" si="6"/>
        <v>-1605.5718143741251</v>
      </c>
      <c r="S29" s="40">
        <f t="shared" si="10"/>
        <v>0</v>
      </c>
    </row>
    <row r="30" spans="1:19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7"/>
        <v>0.36000000000000004</v>
      </c>
      <c r="L30" s="39">
        <f t="shared" si="4"/>
        <v>345.6</v>
      </c>
      <c r="M30" s="40">
        <v>0</v>
      </c>
      <c r="N30" s="39">
        <f t="shared" si="11"/>
        <v>-5.2110997267088139</v>
      </c>
      <c r="O30" s="39">
        <f>0</f>
        <v>0</v>
      </c>
      <c r="P30" s="39">
        <f t="shared" si="5"/>
        <v>0</v>
      </c>
      <c r="Q30" s="39">
        <f t="shared" si="12"/>
        <v>-77000</v>
      </c>
      <c r="R30" s="41">
        <f t="shared" si="6"/>
        <v>-1605.5718143741251</v>
      </c>
      <c r="S30" s="40">
        <f t="shared" si="10"/>
        <v>0</v>
      </c>
    </row>
    <row r="31" spans="1:19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7"/>
        <v>0.38000000000000006</v>
      </c>
      <c r="L31" s="39">
        <f t="shared" si="4"/>
        <v>364.80000000000007</v>
      </c>
      <c r="M31" s="40">
        <v>0</v>
      </c>
      <c r="N31" s="39">
        <f t="shared" si="11"/>
        <v>-5.8061944485860559</v>
      </c>
      <c r="O31" s="39">
        <f>0</f>
        <v>0</v>
      </c>
      <c r="P31" s="39">
        <f t="shared" si="5"/>
        <v>0</v>
      </c>
      <c r="Q31" s="39">
        <f t="shared" si="12"/>
        <v>-77000</v>
      </c>
      <c r="R31" s="41">
        <f t="shared" si="6"/>
        <v>-1605.5718143741251</v>
      </c>
      <c r="S31" s="40">
        <f t="shared" si="10"/>
        <v>0</v>
      </c>
    </row>
    <row r="32" spans="1:19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7"/>
        <v>0.40000000000000008</v>
      </c>
      <c r="L32" s="39">
        <f t="shared" si="4"/>
        <v>384.00000000000006</v>
      </c>
      <c r="M32" s="40">
        <v>0</v>
      </c>
      <c r="N32" s="39">
        <f t="shared" si="11"/>
        <v>-6.4334564527269311</v>
      </c>
      <c r="O32" s="39">
        <f>0</f>
        <v>0</v>
      </c>
      <c r="P32" s="39">
        <f t="shared" si="5"/>
        <v>0</v>
      </c>
      <c r="Q32" s="39">
        <f t="shared" si="12"/>
        <v>-77000</v>
      </c>
      <c r="R32" s="41">
        <f t="shared" si="6"/>
        <v>-1605.5718143741251</v>
      </c>
      <c r="S32" s="40">
        <f t="shared" si="10"/>
        <v>0</v>
      </c>
    </row>
    <row r="33" spans="1:19">
      <c r="A33" s="45"/>
      <c r="B33" s="121"/>
      <c r="C33" s="121"/>
      <c r="D33" s="121"/>
      <c r="E33" s="121"/>
      <c r="F33" s="121"/>
      <c r="G33" s="45"/>
      <c r="H33" s="45"/>
      <c r="I33" s="93">
        <f>O9</f>
        <v>0</v>
      </c>
      <c r="J33" s="87"/>
      <c r="K33" s="29">
        <f t="shared" si="7"/>
        <v>0.4200000000000001</v>
      </c>
      <c r="L33" s="39">
        <f t="shared" si="4"/>
        <v>403.2000000000001</v>
      </c>
      <c r="M33" s="40">
        <v>0</v>
      </c>
      <c r="N33" s="39">
        <f t="shared" si="11"/>
        <v>-7.092885739131443</v>
      </c>
      <c r="O33" s="39">
        <f>0</f>
        <v>0</v>
      </c>
      <c r="P33" s="39">
        <f t="shared" si="5"/>
        <v>0</v>
      </c>
      <c r="Q33" s="39">
        <f t="shared" si="12"/>
        <v>-77000</v>
      </c>
      <c r="R33" s="41">
        <f t="shared" si="6"/>
        <v>-1605.5718143741251</v>
      </c>
      <c r="S33" s="40">
        <f t="shared" si="10"/>
        <v>0</v>
      </c>
    </row>
    <row r="34" spans="1:19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7"/>
        <v>0.44000000000000011</v>
      </c>
      <c r="L34" s="39">
        <f t="shared" si="4"/>
        <v>422.40000000000009</v>
      </c>
      <c r="M34" s="40">
        <v>0</v>
      </c>
      <c r="N34" s="39">
        <f t="shared" si="11"/>
        <v>-7.7844823077995882</v>
      </c>
      <c r="O34" s="39">
        <f>0</f>
        <v>0</v>
      </c>
      <c r="P34" s="39">
        <f t="shared" si="5"/>
        <v>0</v>
      </c>
      <c r="Q34" s="39">
        <f t="shared" si="12"/>
        <v>-77000</v>
      </c>
      <c r="R34" s="41">
        <f t="shared" si="6"/>
        <v>-1605.5718143741251</v>
      </c>
      <c r="S34" s="40">
        <f t="shared" si="10"/>
        <v>0</v>
      </c>
    </row>
    <row r="35" spans="1:19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7"/>
        <v>0.46000000000000013</v>
      </c>
      <c r="L35" s="39">
        <f t="shared" si="4"/>
        <v>441.60000000000014</v>
      </c>
      <c r="M35" s="40">
        <v>0</v>
      </c>
      <c r="N35" s="39">
        <f t="shared" si="11"/>
        <v>-8.5082461587313691</v>
      </c>
      <c r="O35" s="39">
        <f>0</f>
        <v>0</v>
      </c>
      <c r="P35" s="39">
        <f t="shared" si="5"/>
        <v>0</v>
      </c>
      <c r="Q35" s="39">
        <f t="shared" si="12"/>
        <v>-77000</v>
      </c>
      <c r="R35" s="41">
        <f t="shared" si="6"/>
        <v>-1605.5718143741251</v>
      </c>
      <c r="S35" s="40">
        <f t="shared" si="10"/>
        <v>0</v>
      </c>
    </row>
    <row r="36" spans="1:19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7"/>
        <v>0.48000000000000015</v>
      </c>
      <c r="L36" s="39">
        <f t="shared" si="4"/>
        <v>460.80000000000013</v>
      </c>
      <c r="M36" s="40">
        <v>0</v>
      </c>
      <c r="N36" s="39">
        <f t="shared" si="11"/>
        <v>-9.2641772919267833</v>
      </c>
      <c r="O36" s="39">
        <f>0</f>
        <v>0</v>
      </c>
      <c r="P36" s="39">
        <f t="shared" si="5"/>
        <v>0</v>
      </c>
      <c r="Q36" s="39">
        <f t="shared" si="12"/>
        <v>-77000</v>
      </c>
      <c r="R36" s="41">
        <f t="shared" si="6"/>
        <v>-1605.5718143741251</v>
      </c>
      <c r="S36" s="40">
        <f t="shared" si="10"/>
        <v>0</v>
      </c>
    </row>
    <row r="37" spans="1:19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7"/>
        <v>0.50000000000000011</v>
      </c>
      <c r="L37" s="39">
        <f t="shared" si="4"/>
        <v>480.00000000000011</v>
      </c>
      <c r="M37" s="40">
        <v>0</v>
      </c>
      <c r="N37" s="39">
        <f t="shared" si="11"/>
        <v>-10.052275707385832</v>
      </c>
      <c r="O37" s="39">
        <f>0</f>
        <v>0</v>
      </c>
      <c r="P37" s="39">
        <f t="shared" si="5"/>
        <v>0</v>
      </c>
      <c r="Q37" s="39">
        <f t="shared" si="12"/>
        <v>-77000</v>
      </c>
      <c r="R37" s="41">
        <f t="shared" si="6"/>
        <v>-1605.5718143741251</v>
      </c>
      <c r="S37" s="40">
        <f t="shared" si="10"/>
        <v>0</v>
      </c>
    </row>
    <row r="38" spans="1:19">
      <c r="A38" s="45"/>
      <c r="B38" s="121"/>
      <c r="C38" s="121"/>
      <c r="D38" s="121"/>
      <c r="E38" s="121"/>
      <c r="F38" s="121"/>
      <c r="G38" s="45"/>
      <c r="H38" s="45"/>
      <c r="I38" s="93">
        <f>O8</f>
        <v>0</v>
      </c>
      <c r="J38" s="87"/>
      <c r="K38" s="29">
        <f t="shared" si="7"/>
        <v>0.52000000000000013</v>
      </c>
      <c r="L38" s="39">
        <f t="shared" si="4"/>
        <v>499.2000000000001</v>
      </c>
      <c r="M38" s="40">
        <v>0</v>
      </c>
      <c r="N38" s="39">
        <f t="shared" si="11"/>
        <v>-10.872541405108516</v>
      </c>
      <c r="O38" s="39">
        <f>0</f>
        <v>0</v>
      </c>
      <c r="P38" s="39">
        <f t="shared" si="5"/>
        <v>0</v>
      </c>
      <c r="Q38" s="39">
        <f t="shared" si="12"/>
        <v>-77000</v>
      </c>
      <c r="R38" s="41">
        <f t="shared" si="6"/>
        <v>-1605.5718143741251</v>
      </c>
      <c r="S38" s="40">
        <f t="shared" si="10"/>
        <v>0</v>
      </c>
    </row>
    <row r="39" spans="1:19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7"/>
        <v>0.54000000000000015</v>
      </c>
      <c r="L39" s="39">
        <f t="shared" si="4"/>
        <v>518.40000000000009</v>
      </c>
      <c r="M39" s="40">
        <v>0</v>
      </c>
      <c r="N39" s="39">
        <f t="shared" si="11"/>
        <v>-11.724974385094834</v>
      </c>
      <c r="O39" s="39">
        <f>0</f>
        <v>0</v>
      </c>
      <c r="P39" s="39">
        <f t="shared" si="5"/>
        <v>0</v>
      </c>
      <c r="Q39" s="39">
        <f t="shared" si="12"/>
        <v>-77000</v>
      </c>
      <c r="R39" s="41">
        <f t="shared" si="6"/>
        <v>-1605.5718143741251</v>
      </c>
      <c r="S39" s="40">
        <f t="shared" si="10"/>
        <v>0</v>
      </c>
    </row>
    <row r="40" spans="1:19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7"/>
        <v>0.56000000000000016</v>
      </c>
      <c r="L40" s="39">
        <f t="shared" si="4"/>
        <v>537.60000000000014</v>
      </c>
      <c r="M40" s="40">
        <v>0</v>
      </c>
      <c r="N40" s="39">
        <f t="shared" si="11"/>
        <v>-12.609574647344788</v>
      </c>
      <c r="O40" s="39">
        <f>0</f>
        <v>0</v>
      </c>
      <c r="P40" s="39">
        <f t="shared" si="5"/>
        <v>0</v>
      </c>
      <c r="Q40" s="39">
        <f t="shared" si="12"/>
        <v>-77000</v>
      </c>
      <c r="R40" s="41">
        <f t="shared" si="6"/>
        <v>-1605.5718143741251</v>
      </c>
      <c r="S40" s="40">
        <f t="shared" si="10"/>
        <v>0</v>
      </c>
    </row>
    <row r="41" spans="1:19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7"/>
        <v>0.58000000000000018</v>
      </c>
      <c r="L41" s="39">
        <f t="shared" si="4"/>
        <v>556.80000000000018</v>
      </c>
      <c r="M41" s="40">
        <v>0</v>
      </c>
      <c r="N41" s="39">
        <f t="shared" si="11"/>
        <v>-13.526342191858379</v>
      </c>
      <c r="O41" s="39">
        <f>0</f>
        <v>0</v>
      </c>
      <c r="P41" s="39">
        <f t="shared" si="5"/>
        <v>0</v>
      </c>
      <c r="Q41" s="39">
        <f t="shared" si="12"/>
        <v>-77000</v>
      </c>
      <c r="R41" s="41">
        <f t="shared" si="6"/>
        <v>-1605.5718143741251</v>
      </c>
      <c r="S41" s="40">
        <f t="shared" si="10"/>
        <v>0</v>
      </c>
    </row>
    <row r="42" spans="1:19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7"/>
        <v>0.6000000000000002</v>
      </c>
      <c r="L42" s="39">
        <f t="shared" si="4"/>
        <v>576.00000000000023</v>
      </c>
      <c r="M42" s="40">
        <v>0</v>
      </c>
      <c r="N42" s="39">
        <f t="shared" si="11"/>
        <v>-14.475277018635602</v>
      </c>
      <c r="O42" s="39">
        <f>0</f>
        <v>0</v>
      </c>
      <c r="P42" s="39">
        <f t="shared" si="5"/>
        <v>0</v>
      </c>
      <c r="Q42" s="39">
        <f t="shared" si="12"/>
        <v>-77000</v>
      </c>
      <c r="R42" s="41">
        <f t="shared" si="6"/>
        <v>-1605.5718143741251</v>
      </c>
      <c r="S42" s="40">
        <f t="shared" si="10"/>
        <v>0</v>
      </c>
    </row>
    <row r="43" spans="1:19">
      <c r="A43" s="45"/>
      <c r="B43" s="121"/>
      <c r="C43" s="121"/>
      <c r="D43" s="121"/>
      <c r="E43" s="121"/>
      <c r="F43" s="121"/>
      <c r="G43" s="45"/>
      <c r="H43" s="45"/>
      <c r="I43" s="93">
        <f>Q9</f>
        <v>0</v>
      </c>
      <c r="J43" s="87"/>
      <c r="K43" s="29">
        <f t="shared" si="7"/>
        <v>0.62000000000000022</v>
      </c>
      <c r="L43" s="39">
        <f t="shared" si="4"/>
        <v>595.20000000000016</v>
      </c>
      <c r="M43" s="40">
        <v>0</v>
      </c>
      <c r="N43" s="39">
        <f t="shared" si="11"/>
        <v>-15.456379127676456</v>
      </c>
      <c r="O43" s="39">
        <f>0</f>
        <v>0</v>
      </c>
      <c r="P43" s="39">
        <f t="shared" si="5"/>
        <v>0</v>
      </c>
      <c r="Q43" s="39">
        <f t="shared" si="12"/>
        <v>-77000</v>
      </c>
      <c r="R43" s="41">
        <f t="shared" si="6"/>
        <v>-1605.5718143741251</v>
      </c>
      <c r="S43" s="40">
        <f t="shared" si="10"/>
        <v>919.05381944448561</v>
      </c>
    </row>
    <row r="44" spans="1:19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7"/>
        <v>0.64000000000000024</v>
      </c>
      <c r="L44" s="39">
        <f t="shared" ref="L44:L62" si="13">L*K44</f>
        <v>614.4000000000002</v>
      </c>
      <c r="M44" s="40">
        <v>0</v>
      </c>
      <c r="N44" s="39">
        <f t="shared" si="11"/>
        <v>-16.468803848591648</v>
      </c>
      <c r="O44" s="39">
        <f>0</f>
        <v>0</v>
      </c>
      <c r="P44" s="39">
        <f t="shared" ref="P44:P62" si="14">V/A_CS</f>
        <v>0</v>
      </c>
      <c r="Q44" s="39">
        <f t="shared" si="12"/>
        <v>0</v>
      </c>
      <c r="R44" s="41">
        <f t="shared" ref="R44:R62" si="15">Ybar*Q44/Ix</f>
        <v>0</v>
      </c>
      <c r="S44" s="40">
        <f t="shared" si="10"/>
        <v>3091.3628472221744</v>
      </c>
    </row>
    <row r="45" spans="1:19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6">K44+0.02</f>
        <v>0.66000000000000025</v>
      </c>
      <c r="L45" s="39">
        <f t="shared" si="13"/>
        <v>633.60000000000025</v>
      </c>
      <c r="M45" s="40">
        <v>0</v>
      </c>
      <c r="N45" s="39">
        <f t="shared" ref="N45:N60" si="17">IF(AND(0 &lt;= x, x &lt;= a), a_C2 + a_C1*x - (Ma*x^2)/(2*(E*Ix)), a_C2p + a_C1p*x)</f>
        <v>-17.490785212175879</v>
      </c>
      <c r="O45" s="39">
        <f>0</f>
        <v>0</v>
      </c>
      <c r="P45" s="39">
        <f t="shared" si="14"/>
        <v>0</v>
      </c>
      <c r="Q45" s="39">
        <f t="shared" ref="Q45:Q60" si="18">IF(x &lt;= a,-M,0)</f>
        <v>0</v>
      </c>
      <c r="R45" s="41">
        <f t="shared" si="15"/>
        <v>0</v>
      </c>
      <c r="S45" s="40">
        <f t="shared" ref="S45:S61" si="19">IF(AND(x &lt;= a, a &lt; L46), ( (L46-a)/(L46-x) * M/((x-L44)/2+(L46-x)/2) ), IF(AND(L44 &lt; a, a &lt;= x), (  (a - L44)/(x - L44)*M/((x-L44)/2+(L46-x)/2) ), 0))</f>
        <v>0</v>
      </c>
    </row>
    <row r="46" spans="1:19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6"/>
        <v>0.68000000000000027</v>
      </c>
      <c r="L46" s="39">
        <f t="shared" si="13"/>
        <v>652.8000000000003</v>
      </c>
      <c r="M46" s="40">
        <v>0</v>
      </c>
      <c r="N46" s="39">
        <f t="shared" si="17"/>
        <v>-18.512766575760104</v>
      </c>
      <c r="O46" s="39">
        <f>0</f>
        <v>0</v>
      </c>
      <c r="P46" s="39">
        <f t="shared" si="14"/>
        <v>0</v>
      </c>
      <c r="Q46" s="39">
        <f t="shared" si="18"/>
        <v>0</v>
      </c>
      <c r="R46" s="41">
        <f t="shared" si="15"/>
        <v>0</v>
      </c>
      <c r="S46" s="40">
        <f t="shared" si="19"/>
        <v>0</v>
      </c>
    </row>
    <row r="47" spans="1:19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6"/>
        <v>0.70000000000000029</v>
      </c>
      <c r="L47" s="39">
        <f t="shared" si="13"/>
        <v>672.00000000000023</v>
      </c>
      <c r="M47" s="40">
        <v>0</v>
      </c>
      <c r="N47" s="39">
        <f t="shared" si="17"/>
        <v>-19.534747939344328</v>
      </c>
      <c r="O47" s="39">
        <f>0</f>
        <v>0</v>
      </c>
      <c r="P47" s="39">
        <f t="shared" si="14"/>
        <v>0</v>
      </c>
      <c r="Q47" s="39">
        <f t="shared" si="18"/>
        <v>0</v>
      </c>
      <c r="R47" s="41">
        <f t="shared" si="15"/>
        <v>0</v>
      </c>
      <c r="S47" s="40">
        <f t="shared" si="19"/>
        <v>0</v>
      </c>
    </row>
    <row r="48" spans="1:19">
      <c r="A48" s="45"/>
      <c r="B48" s="121"/>
      <c r="C48" s="121"/>
      <c r="D48" s="121"/>
      <c r="E48" s="121"/>
      <c r="F48" s="121"/>
      <c r="G48" s="45"/>
      <c r="H48" s="45"/>
      <c r="I48" s="93">
        <f>Q8</f>
        <v>-77000</v>
      </c>
      <c r="J48" s="87"/>
      <c r="K48" s="29">
        <f t="shared" si="16"/>
        <v>0.72000000000000031</v>
      </c>
      <c r="L48" s="39">
        <f t="shared" si="13"/>
        <v>691.20000000000027</v>
      </c>
      <c r="M48" s="40">
        <v>0</v>
      </c>
      <c r="N48" s="39">
        <f t="shared" si="17"/>
        <v>-20.556729302928559</v>
      </c>
      <c r="O48" s="39">
        <f>0</f>
        <v>0</v>
      </c>
      <c r="P48" s="39">
        <f t="shared" si="14"/>
        <v>0</v>
      </c>
      <c r="Q48" s="39">
        <f t="shared" si="18"/>
        <v>0</v>
      </c>
      <c r="R48" s="41">
        <f t="shared" si="15"/>
        <v>0</v>
      </c>
      <c r="S48" s="40">
        <f t="shared" si="19"/>
        <v>0</v>
      </c>
    </row>
    <row r="49" spans="1:19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6"/>
        <v>0.74000000000000032</v>
      </c>
      <c r="L49" s="39">
        <f t="shared" si="13"/>
        <v>710.40000000000032</v>
      </c>
      <c r="M49" s="40">
        <v>0</v>
      </c>
      <c r="N49" s="39">
        <f t="shared" si="17"/>
        <v>-21.578710666512784</v>
      </c>
      <c r="O49" s="39">
        <f>0</f>
        <v>0</v>
      </c>
      <c r="P49" s="39">
        <f t="shared" si="14"/>
        <v>0</v>
      </c>
      <c r="Q49" s="39">
        <f t="shared" si="18"/>
        <v>0</v>
      </c>
      <c r="R49" s="41">
        <f t="shared" si="15"/>
        <v>0</v>
      </c>
      <c r="S49" s="40">
        <f t="shared" si="19"/>
        <v>0</v>
      </c>
    </row>
    <row r="50" spans="1:19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6"/>
        <v>0.76000000000000034</v>
      </c>
      <c r="L50" s="39">
        <f t="shared" si="13"/>
        <v>729.60000000000036</v>
      </c>
      <c r="M50" s="40">
        <v>0</v>
      </c>
      <c r="N50" s="39">
        <f t="shared" si="17"/>
        <v>-22.600692030097015</v>
      </c>
      <c r="O50" s="39">
        <f>0</f>
        <v>0</v>
      </c>
      <c r="P50" s="39">
        <f t="shared" si="14"/>
        <v>0</v>
      </c>
      <c r="Q50" s="39">
        <f t="shared" si="18"/>
        <v>0</v>
      </c>
      <c r="R50" s="41">
        <f t="shared" si="15"/>
        <v>0</v>
      </c>
      <c r="S50" s="40">
        <f t="shared" si="19"/>
        <v>0</v>
      </c>
    </row>
    <row r="51" spans="1:19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6"/>
        <v>0.78000000000000036</v>
      </c>
      <c r="L51" s="39">
        <f t="shared" si="13"/>
        <v>748.8000000000003</v>
      </c>
      <c r="M51" s="40">
        <v>0</v>
      </c>
      <c r="N51" s="39">
        <f t="shared" si="17"/>
        <v>-23.622673393681239</v>
      </c>
      <c r="O51" s="39">
        <f>0</f>
        <v>0</v>
      </c>
      <c r="P51" s="39">
        <f t="shared" si="14"/>
        <v>0</v>
      </c>
      <c r="Q51" s="39">
        <f t="shared" si="18"/>
        <v>0</v>
      </c>
      <c r="R51" s="41">
        <f t="shared" si="15"/>
        <v>0</v>
      </c>
      <c r="S51" s="40">
        <f t="shared" si="19"/>
        <v>0</v>
      </c>
    </row>
    <row r="52" spans="1:19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6"/>
        <v>0.80000000000000038</v>
      </c>
      <c r="L52" s="39">
        <f t="shared" si="13"/>
        <v>768.00000000000034</v>
      </c>
      <c r="M52" s="40">
        <v>0</v>
      </c>
      <c r="N52" s="39">
        <f t="shared" si="17"/>
        <v>-24.644654757265464</v>
      </c>
      <c r="O52" s="39">
        <f>0</f>
        <v>0</v>
      </c>
      <c r="P52" s="39">
        <f t="shared" si="14"/>
        <v>0</v>
      </c>
      <c r="Q52" s="39">
        <f t="shared" si="18"/>
        <v>0</v>
      </c>
      <c r="R52" s="41">
        <f t="shared" si="15"/>
        <v>0</v>
      </c>
      <c r="S52" s="40">
        <f t="shared" si="19"/>
        <v>0</v>
      </c>
    </row>
    <row r="53" spans="1:19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6"/>
        <v>0.8200000000000004</v>
      </c>
      <c r="L53" s="39">
        <f t="shared" si="13"/>
        <v>787.20000000000039</v>
      </c>
      <c r="M53" s="40">
        <v>0</v>
      </c>
      <c r="N53" s="39">
        <f t="shared" si="17"/>
        <v>-25.666636120849695</v>
      </c>
      <c r="O53" s="39">
        <f>0</f>
        <v>0</v>
      </c>
      <c r="P53" s="39">
        <f t="shared" si="14"/>
        <v>0</v>
      </c>
      <c r="Q53" s="39">
        <f t="shared" si="18"/>
        <v>0</v>
      </c>
      <c r="R53" s="41">
        <f t="shared" si="15"/>
        <v>0</v>
      </c>
      <c r="S53" s="40">
        <f t="shared" si="19"/>
        <v>0</v>
      </c>
    </row>
    <row r="54" spans="1:19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6"/>
        <v>0.84000000000000041</v>
      </c>
      <c r="L54" s="39">
        <f t="shared" si="13"/>
        <v>806.40000000000043</v>
      </c>
      <c r="M54" s="40">
        <v>0</v>
      </c>
      <c r="N54" s="39">
        <f t="shared" si="17"/>
        <v>-26.688617484433919</v>
      </c>
      <c r="O54" s="39">
        <f>0</f>
        <v>0</v>
      </c>
      <c r="P54" s="39">
        <f t="shared" si="14"/>
        <v>0</v>
      </c>
      <c r="Q54" s="39">
        <f t="shared" si="18"/>
        <v>0</v>
      </c>
      <c r="R54" s="41">
        <f t="shared" si="15"/>
        <v>0</v>
      </c>
      <c r="S54" s="40">
        <f t="shared" si="19"/>
        <v>0</v>
      </c>
    </row>
    <row r="55" spans="1:19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6"/>
        <v>0.86000000000000043</v>
      </c>
      <c r="L55" s="39">
        <f t="shared" si="13"/>
        <v>825.60000000000036</v>
      </c>
      <c r="M55" s="40">
        <v>0</v>
      </c>
      <c r="N55" s="39">
        <f t="shared" si="17"/>
        <v>-27.710598848018144</v>
      </c>
      <c r="O55" s="39">
        <f>0</f>
        <v>0</v>
      </c>
      <c r="P55" s="39">
        <f t="shared" si="14"/>
        <v>0</v>
      </c>
      <c r="Q55" s="39">
        <f t="shared" si="18"/>
        <v>0</v>
      </c>
      <c r="R55" s="41">
        <f t="shared" si="15"/>
        <v>0</v>
      </c>
      <c r="S55" s="40">
        <f t="shared" si="19"/>
        <v>0</v>
      </c>
    </row>
    <row r="56" spans="1:19">
      <c r="A56" s="45"/>
      <c r="B56" s="45"/>
      <c r="C56" s="45"/>
      <c r="D56" s="129" t="s">
        <v>326</v>
      </c>
      <c r="E56" s="130">
        <f>0</f>
        <v>0</v>
      </c>
      <c r="F56" s="45"/>
      <c r="G56" s="45"/>
      <c r="H56" s="45"/>
      <c r="I56" s="45"/>
      <c r="J56" s="87"/>
      <c r="K56" s="29">
        <f t="shared" si="16"/>
        <v>0.88000000000000045</v>
      </c>
      <c r="L56" s="39">
        <f t="shared" si="13"/>
        <v>844.80000000000041</v>
      </c>
      <c r="M56" s="40">
        <v>0</v>
      </c>
      <c r="N56" s="39">
        <f t="shared" si="17"/>
        <v>-28.732580211602368</v>
      </c>
      <c r="O56" s="39">
        <f>0</f>
        <v>0</v>
      </c>
      <c r="P56" s="39">
        <f t="shared" si="14"/>
        <v>0</v>
      </c>
      <c r="Q56" s="39">
        <f t="shared" si="18"/>
        <v>0</v>
      </c>
      <c r="R56" s="41">
        <f t="shared" si="15"/>
        <v>0</v>
      </c>
      <c r="S56" s="40">
        <f t="shared" si="19"/>
        <v>0</v>
      </c>
    </row>
    <row r="57" spans="1:19">
      <c r="A57" s="45"/>
      <c r="B57" s="45"/>
      <c r="C57" s="45"/>
      <c r="D57" s="129" t="s">
        <v>327</v>
      </c>
      <c r="E57" s="130">
        <f>0</f>
        <v>0</v>
      </c>
      <c r="F57" s="45"/>
      <c r="G57" s="45"/>
      <c r="H57" s="45"/>
      <c r="I57" s="45"/>
      <c r="J57" s="87"/>
      <c r="K57" s="29">
        <f t="shared" si="16"/>
        <v>0.90000000000000047</v>
      </c>
      <c r="L57" s="39">
        <f t="shared" si="13"/>
        <v>864.00000000000045</v>
      </c>
      <c r="M57" s="40">
        <v>0</v>
      </c>
      <c r="N57" s="39">
        <f t="shared" si="17"/>
        <v>-29.754561575186599</v>
      </c>
      <c r="O57" s="39">
        <f>0</f>
        <v>0</v>
      </c>
      <c r="P57" s="39">
        <f t="shared" si="14"/>
        <v>0</v>
      </c>
      <c r="Q57" s="39">
        <f t="shared" si="18"/>
        <v>0</v>
      </c>
      <c r="R57" s="41">
        <f t="shared" si="15"/>
        <v>0</v>
      </c>
      <c r="S57" s="40">
        <f t="shared" si="19"/>
        <v>0</v>
      </c>
    </row>
    <row r="58" spans="1:19">
      <c r="A58" s="45"/>
      <c r="B58" s="45"/>
      <c r="C58" s="45"/>
      <c r="D58" s="129" t="s">
        <v>349</v>
      </c>
      <c r="E58" s="130">
        <f>-((a*Ma)/(E*Ix))</f>
        <v>-5.3228196020011762E-2</v>
      </c>
      <c r="F58" s="45"/>
      <c r="G58" s="45"/>
      <c r="H58" s="45"/>
      <c r="I58" s="45"/>
      <c r="J58" s="87"/>
      <c r="K58" s="29">
        <f t="shared" si="16"/>
        <v>0.92000000000000048</v>
      </c>
      <c r="L58" s="39">
        <f t="shared" si="13"/>
        <v>883.2000000000005</v>
      </c>
      <c r="M58" s="40">
        <v>0</v>
      </c>
      <c r="N58" s="39">
        <f t="shared" si="17"/>
        <v>-30.776542938770831</v>
      </c>
      <c r="O58" s="39">
        <f>0</f>
        <v>0</v>
      </c>
      <c r="P58" s="39">
        <f t="shared" si="14"/>
        <v>0</v>
      </c>
      <c r="Q58" s="39">
        <f t="shared" si="18"/>
        <v>0</v>
      </c>
      <c r="R58" s="41">
        <f t="shared" si="15"/>
        <v>0</v>
      </c>
      <c r="S58" s="40">
        <f t="shared" si="19"/>
        <v>0</v>
      </c>
    </row>
    <row r="59" spans="1:19" ht="15">
      <c r="A59" s="45"/>
      <c r="B59" s="45"/>
      <c r="C59" s="131"/>
      <c r="D59" s="129" t="s">
        <v>329</v>
      </c>
      <c r="E59" s="130">
        <f>(a^2*Ma)/(2*(E*Ix))</f>
        <v>16.234599786103587</v>
      </c>
      <c r="F59" s="45"/>
      <c r="G59" s="45"/>
      <c r="H59" s="45"/>
      <c r="I59" s="45"/>
      <c r="J59" s="87"/>
      <c r="K59" s="29">
        <f t="shared" si="16"/>
        <v>0.9400000000000005</v>
      </c>
      <c r="L59" s="39">
        <f t="shared" si="13"/>
        <v>902.40000000000043</v>
      </c>
      <c r="M59" s="40">
        <v>0</v>
      </c>
      <c r="N59" s="39">
        <f t="shared" si="17"/>
        <v>-31.798524302355048</v>
      </c>
      <c r="O59" s="39">
        <f>0</f>
        <v>0</v>
      </c>
      <c r="P59" s="39">
        <f t="shared" si="14"/>
        <v>0</v>
      </c>
      <c r="Q59" s="39">
        <f t="shared" si="18"/>
        <v>0</v>
      </c>
      <c r="R59" s="41">
        <f t="shared" si="15"/>
        <v>0</v>
      </c>
      <c r="S59" s="40">
        <f t="shared" si="19"/>
        <v>0</v>
      </c>
    </row>
    <row r="60" spans="1:19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29">
        <f t="shared" si="16"/>
        <v>0.96000000000000052</v>
      </c>
      <c r="L60" s="39">
        <f t="shared" si="13"/>
        <v>921.60000000000048</v>
      </c>
      <c r="M60" s="40">
        <v>0</v>
      </c>
      <c r="N60" s="39">
        <f t="shared" si="17"/>
        <v>-32.82050566593928</v>
      </c>
      <c r="O60" s="39">
        <f>0</f>
        <v>0</v>
      </c>
      <c r="P60" s="39">
        <f t="shared" si="14"/>
        <v>0</v>
      </c>
      <c r="Q60" s="39">
        <f t="shared" si="18"/>
        <v>0</v>
      </c>
      <c r="R60" s="41">
        <f t="shared" si="15"/>
        <v>0</v>
      </c>
      <c r="S60" s="40">
        <f t="shared" si="19"/>
        <v>0</v>
      </c>
    </row>
    <row r="61" spans="1:19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29">
        <f t="shared" si="16"/>
        <v>0.98000000000000054</v>
      </c>
      <c r="L61" s="39">
        <f t="shared" si="13"/>
        <v>940.80000000000052</v>
      </c>
      <c r="M61" s="40">
        <v>0</v>
      </c>
      <c r="N61" s="39">
        <f>IF(AND(0 &lt;= x, x &lt;= a), a_C2 + a_C1*x - (Ma*x^2)/(2*(E*Ix)), a_C2p + a_C1p*x)</f>
        <v>-33.842487029523504</v>
      </c>
      <c r="O61" s="39">
        <f>0</f>
        <v>0</v>
      </c>
      <c r="P61" s="39">
        <f t="shared" si="14"/>
        <v>0</v>
      </c>
      <c r="Q61" s="39">
        <f>IF(x &lt;= a,-M,0)</f>
        <v>0</v>
      </c>
      <c r="R61" s="41">
        <f t="shared" si="15"/>
        <v>0</v>
      </c>
      <c r="S61" s="40">
        <f t="shared" si="19"/>
        <v>0</v>
      </c>
    </row>
    <row r="62" spans="1:19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6"/>
        <v>1.0000000000000004</v>
      </c>
      <c r="L62" s="42">
        <f t="shared" si="13"/>
        <v>960.00000000000045</v>
      </c>
      <c r="M62" s="43">
        <v>0</v>
      </c>
      <c r="N62" s="42">
        <f>IF(AND(0 &lt;= x, x &lt;= a), a_C2 + a_C1*x - (Ma*x^2)/(2*(E*Ix)), a_C2p + a_C1p*x)</f>
        <v>-34.864468393107728</v>
      </c>
      <c r="O62" s="42">
        <f>0</f>
        <v>0</v>
      </c>
      <c r="P62" s="42">
        <f t="shared" si="14"/>
        <v>0</v>
      </c>
      <c r="Q62" s="42">
        <f>IF(x &lt;= a,-M,0)</f>
        <v>0</v>
      </c>
      <c r="R62" s="44">
        <f t="shared" si="15"/>
        <v>0</v>
      </c>
      <c r="S62" s="43">
        <f>IF(AND(L61 &lt; a, a &lt;= x), (  (a - L61)/(x - L61)*M/((x-L61)) ), 0)</f>
        <v>0</v>
      </c>
    </row>
    <row r="63" spans="1:19" ht="13.5" thickTop="1">
      <c r="J63" s="320"/>
    </row>
    <row r="64" spans="1:19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6" orientation="landscape" horizontalDpi="4294967292" verticalDpi="4294967292"/>
  <headerFooter alignWithMargins="0"/>
  <drawing r:id="rId1"/>
  <legacyDrawing r:id="rId2"/>
  <oleObjects>
    <oleObject progId="MSPhotoEd.3" shapeId="14217" r:id="rId3"/>
    <oleObject progId="MSPhotoEd.3" shapeId="14218" r:id="rId4"/>
  </oleObjects>
</worksheet>
</file>

<file path=xl/worksheets/sheet12.xml><?xml version="1.0" encoding="utf-8"?>
<worksheet xmlns="http://schemas.openxmlformats.org/spreadsheetml/2006/main" xmlns:r="http://schemas.openxmlformats.org/officeDocument/2006/relationships">
  <sheetPr syncHorizontal="1" syncRef="A1" codeName="Sheet14">
    <pageSetUpPr fitToPage="1"/>
  </sheetPr>
  <dimension ref="A1:R96"/>
  <sheetViews>
    <sheetView showGridLines="0" defaultGridColor="0" colorId="8" zoomScaleNormal="100" workbookViewId="0">
      <selection sqref="A1:A1048576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9.42578125" style="304" customWidth="1"/>
    <col min="8" max="8" width="6.5703125" style="304" customWidth="1"/>
    <col min="9" max="9" width="10.5703125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347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331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332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 t="s">
        <v>337</v>
      </c>
      <c r="D6" s="96" t="s">
        <v>338</v>
      </c>
      <c r="E6" s="96" t="s">
        <v>332</v>
      </c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/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339</v>
      </c>
      <c r="C7" s="96" t="s">
        <v>332</v>
      </c>
      <c r="D7" s="96" t="s">
        <v>332</v>
      </c>
      <c r="E7" s="96" t="s">
        <v>320</v>
      </c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21" thickTop="1" thickBot="1">
      <c r="A8" s="110"/>
      <c r="B8" s="111" t="s">
        <v>306</v>
      </c>
      <c r="C8" s="112" t="s">
        <v>340</v>
      </c>
      <c r="D8" s="112" t="s">
        <v>341</v>
      </c>
      <c r="E8" s="113" t="s">
        <v>271</v>
      </c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0</v>
      </c>
      <c r="N8" s="27">
        <f t="shared" ca="1" si="0"/>
        <v>-135.41944569411618</v>
      </c>
      <c r="O8" s="27">
        <f t="shared" ca="1" si="0"/>
        <v>0</v>
      </c>
      <c r="P8" s="27">
        <f t="shared" ca="1" si="0"/>
        <v>0</v>
      </c>
      <c r="Q8" s="27">
        <f t="shared" ca="1" si="0"/>
        <v>-516060</v>
      </c>
      <c r="R8" s="28">
        <f t="shared" ca="1" si="0"/>
        <v>-10760.667409427417</v>
      </c>
    </row>
    <row r="9" spans="1:18" ht="14.25" thickTop="1" thickBot="1">
      <c r="A9" s="110"/>
      <c r="B9" s="115" t="str">
        <f>[0]!DistanceUnits</f>
        <v>in</v>
      </c>
      <c r="C9" s="116" t="str">
        <f>SUBSTITUTE(SUBSTITUTE("F/D", "F", ForceUnits), "D", DistanceUnits)</f>
        <v>lb/in</v>
      </c>
      <c r="D9" s="116" t="str">
        <f>SUBSTITUTE(SUBSTITUTE("F/D^2", "F", ForceUnits), "D", DistanceUnits)</f>
        <v>lb/in^2</v>
      </c>
      <c r="E9" s="117" t="str">
        <f>[0]!DistanceUnits</f>
        <v>in</v>
      </c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4.7</v>
      </c>
      <c r="N9" s="32">
        <f t="shared" ca="1" si="1"/>
        <v>0</v>
      </c>
      <c r="O9" s="32">
        <f t="shared" ca="1" si="1"/>
        <v>846</v>
      </c>
      <c r="P9" s="32">
        <f t="shared" ca="1" si="1"/>
        <v>68.391152688631593</v>
      </c>
      <c r="Q9" s="32">
        <f t="shared" ca="1" si="1"/>
        <v>0</v>
      </c>
      <c r="R9" s="33">
        <f t="shared" ca="1" si="1"/>
        <v>0</v>
      </c>
    </row>
    <row r="10" spans="1:18" ht="14.25" thickTop="1" thickBot="1">
      <c r="A10" s="110"/>
      <c r="B10" s="5">
        <v>520</v>
      </c>
      <c r="C10" s="6">
        <v>4.7</v>
      </c>
      <c r="D10" s="6">
        <v>0</v>
      </c>
      <c r="E10" s="7">
        <v>700</v>
      </c>
      <c r="F10" s="8">
        <f xml:space="preserve"> 80*12</f>
        <v>960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4.7</v>
      </c>
      <c r="N10" s="32">
        <f t="shared" ca="1" si="2"/>
        <v>-135.41944569411618</v>
      </c>
      <c r="O10" s="32">
        <f t="shared" ca="1" si="2"/>
        <v>846</v>
      </c>
      <c r="P10" s="32">
        <f t="shared" ca="1" si="2"/>
        <v>68.391152688631593</v>
      </c>
      <c r="Q10" s="32">
        <f t="shared" ca="1" si="2"/>
        <v>-516060</v>
      </c>
      <c r="R10" s="33">
        <f t="shared" ca="1" si="2"/>
        <v>-10760.667409427417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537.60000000000014</v>
      </c>
      <c r="N11" s="37">
        <f t="shared" ca="1" si="3"/>
        <v>960.00000000000045</v>
      </c>
      <c r="O11" s="37">
        <f t="shared" ca="1" si="3"/>
        <v>0</v>
      </c>
      <c r="P11" s="37">
        <f t="shared" ca="1" si="3"/>
        <v>0</v>
      </c>
      <c r="Q11" s="37">
        <f t="shared" ca="1" si="3"/>
        <v>0</v>
      </c>
      <c r="R11" s="38">
        <f t="shared" ca="1" si="3"/>
        <v>0</v>
      </c>
    </row>
    <row r="12" spans="1:18" ht="13.5" thickTop="1">
      <c r="A12" s="45"/>
      <c r="B12" s="121"/>
      <c r="C12" s="122"/>
      <c r="D12" s="123" t="s">
        <v>332</v>
      </c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 t="shared" ref="M12:M43" si="5">IF(AND(a&lt;=x,x&lt;=b),wm*x+wb,0)</f>
        <v>0</v>
      </c>
      <c r="N12" s="39">
        <f t="shared" ref="N12:N43" ca="1" si="6">IF(AND(0 &lt;= x, x &lt;= a), a_C2 + a_C1*x - (Ma*x^2)/(2*(E*Ix)) + (Ra*x^3)/(6*(E*Ix)), IF(AND(a &lt; x, x &lt;= b), a_C2p + a_C1p*x + (-(Ma*x^2)/2 + (Ra*x^3)/6 + wb*(-(a^2*x^2)/4 + (a*x^3)/6 -  x^4/24) + wm*(-(a^3*x^2)/6 + (a^2*x^3)/12 - x^5/120))/(E*Ix), a_C2pp + a_C1pp*x))</f>
        <v>0</v>
      </c>
      <c r="O12" s="39">
        <f t="shared" ref="O12:O43" ca="1" si="7">IF(AND(0&lt;=x,x&lt;=a),Ra,IF(AND(a&lt;x,x&lt;=b),Ra + (a - x)*wb + (a^2 - x^2)*wm/2, 0))</f>
        <v>846</v>
      </c>
      <c r="P12" s="39">
        <f t="shared" ref="P12:P43" ca="1" si="8">V/A_CS</f>
        <v>68.391152688631593</v>
      </c>
      <c r="Q12" s="39">
        <f t="shared" ref="Q12:Q43" ca="1" si="9">IF(AND(0&lt;=x,x&lt;=a),Ra*x - Ma,IF(AND(a&lt;x,x&lt;=b),-Ma + Ra*x - (wb*(x - a)^2)/2 + wm*(-a^3/3 + (a^2*x)/2 - x^3/6), 0))</f>
        <v>-516060</v>
      </c>
      <c r="R12" s="41">
        <f t="shared" ref="R12:R43" ca="1" si="10">Ybar*Q12/Ix</f>
        <v>-10760.667409427417</v>
      </c>
    </row>
    <row r="13" spans="1:18">
      <c r="A13" s="336" t="s">
        <v>348</v>
      </c>
      <c r="B13" s="121"/>
      <c r="C13" s="122"/>
      <c r="D13" s="122"/>
      <c r="E13" s="122"/>
      <c r="F13" s="121"/>
      <c r="G13" s="661">
        <f>A_CS*L</f>
        <v>11875.220230569419</v>
      </c>
      <c r="H13" s="45"/>
      <c r="I13" s="662">
        <f>G13*[0]!Density</f>
        <v>902.51673752327588</v>
      </c>
      <c r="J13" s="45"/>
      <c r="K13" s="29">
        <f t="shared" ref="K13:K44" si="11">K12+0.02</f>
        <v>0.02</v>
      </c>
      <c r="L13" s="39">
        <f t="shared" si="4"/>
        <v>19.2</v>
      </c>
      <c r="M13" s="40">
        <f t="shared" si="5"/>
        <v>0</v>
      </c>
      <c r="N13" s="39">
        <f t="shared" ca="1" si="6"/>
        <v>-0.10666286462261736</v>
      </c>
      <c r="O13" s="39">
        <f t="shared" ca="1" si="7"/>
        <v>846</v>
      </c>
      <c r="P13" s="39">
        <f t="shared" ca="1" si="8"/>
        <v>68.391152688631593</v>
      </c>
      <c r="Q13" s="39">
        <f t="shared" ca="1" si="9"/>
        <v>-499816.8</v>
      </c>
      <c r="R13" s="41">
        <f t="shared" ca="1" si="10"/>
        <v>-10421.970992606093</v>
      </c>
    </row>
    <row r="14" spans="1:18" ht="13.5" thickBot="1">
      <c r="A14" s="94">
        <f>(b^2 - a^2)*wb/2 + (b^3 - a^3)*wm/3</f>
        <v>516060</v>
      </c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11"/>
        <v>0.04</v>
      </c>
      <c r="L14" s="39">
        <f t="shared" si="4"/>
        <v>38.4</v>
      </c>
      <c r="M14" s="40">
        <f t="shared" si="5"/>
        <v>0</v>
      </c>
      <c r="N14" s="39">
        <f t="shared" ca="1" si="6"/>
        <v>-0.42212765243622985</v>
      </c>
      <c r="O14" s="39">
        <f t="shared" ca="1" si="7"/>
        <v>846</v>
      </c>
      <c r="P14" s="39">
        <f t="shared" ca="1" si="8"/>
        <v>68.391152688631593</v>
      </c>
      <c r="Q14" s="39">
        <f t="shared" ca="1" si="9"/>
        <v>-483573.6</v>
      </c>
      <c r="R14" s="41">
        <f t="shared" ca="1" si="10"/>
        <v>-10083.274575784772</v>
      </c>
    </row>
    <row r="15" spans="1:18" ht="14.25" thickTop="1" thickBot="1">
      <c r="A15" s="94" t="str">
        <f>IF(ActiveUnits="SI", SUBSTITUTE(SUBSTITUTE("F-D", "F", ForceUnits), "D", DistanceUnits), SUBSTITUTE(SUBSTITUTE("D-F", "F", ForceUnits), "D", DistanceUnits))</f>
        <v>in-lb</v>
      </c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11"/>
        <v>0.06</v>
      </c>
      <c r="L15" s="39">
        <f t="shared" si="4"/>
        <v>57.599999999999994</v>
      </c>
      <c r="M15" s="40">
        <f t="shared" si="5"/>
        <v>0</v>
      </c>
      <c r="N15" s="39">
        <f t="shared" ca="1" si="6"/>
        <v>-0.93960865435947794</v>
      </c>
      <c r="O15" s="39">
        <f t="shared" ca="1" si="7"/>
        <v>846</v>
      </c>
      <c r="P15" s="39">
        <f t="shared" ca="1" si="8"/>
        <v>68.391152688631593</v>
      </c>
      <c r="Q15" s="39">
        <f t="shared" ca="1" si="9"/>
        <v>-467330.4</v>
      </c>
      <c r="R15" s="41">
        <f t="shared" ca="1" si="10"/>
        <v>-9744.5781589634516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11"/>
        <v>0.08</v>
      </c>
      <c r="L16" s="39">
        <f t="shared" si="4"/>
        <v>76.8</v>
      </c>
      <c r="M16" s="40">
        <f t="shared" si="5"/>
        <v>0</v>
      </c>
      <c r="N16" s="39">
        <f t="shared" ca="1" si="6"/>
        <v>-1.6523201613110028</v>
      </c>
      <c r="O16" s="39">
        <f t="shared" ca="1" si="7"/>
        <v>846</v>
      </c>
      <c r="P16" s="39">
        <f t="shared" ca="1" si="8"/>
        <v>68.391152688631593</v>
      </c>
      <c r="Q16" s="39">
        <f t="shared" ca="1" si="9"/>
        <v>-451087.2</v>
      </c>
      <c r="R16" s="41">
        <f t="shared" ca="1" si="10"/>
        <v>-9405.8817421421281</v>
      </c>
    </row>
    <row r="17" spans="1:18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11"/>
        <v>0.1</v>
      </c>
      <c r="L17" s="39">
        <f t="shared" si="4"/>
        <v>96</v>
      </c>
      <c r="M17" s="40">
        <f t="shared" si="5"/>
        <v>0</v>
      </c>
      <c r="N17" s="39">
        <f t="shared" ca="1" si="6"/>
        <v>-2.5534764642094445</v>
      </c>
      <c r="O17" s="39">
        <f t="shared" ca="1" si="7"/>
        <v>846</v>
      </c>
      <c r="P17" s="39">
        <f t="shared" ca="1" si="8"/>
        <v>68.391152688631593</v>
      </c>
      <c r="Q17" s="39">
        <f t="shared" ca="1" si="9"/>
        <v>-434844</v>
      </c>
      <c r="R17" s="41">
        <f t="shared" ca="1" si="10"/>
        <v>-9067.1853253208064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11"/>
        <v>0.12000000000000001</v>
      </c>
      <c r="L18" s="39">
        <f t="shared" si="4"/>
        <v>115.2</v>
      </c>
      <c r="M18" s="40">
        <f t="shared" si="5"/>
        <v>0</v>
      </c>
      <c r="N18" s="39">
        <f t="shared" ca="1" si="6"/>
        <v>-3.6362918539734448</v>
      </c>
      <c r="O18" s="39">
        <f t="shared" ca="1" si="7"/>
        <v>846</v>
      </c>
      <c r="P18" s="39">
        <f t="shared" ca="1" si="8"/>
        <v>68.391152688631593</v>
      </c>
      <c r="Q18" s="39">
        <f t="shared" ca="1" si="9"/>
        <v>-418600.8</v>
      </c>
      <c r="R18" s="41">
        <f t="shared" ca="1" si="10"/>
        <v>-8728.4889084994848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0.44836114205947569</v>
      </c>
      <c r="J19" s="45"/>
      <c r="K19" s="29">
        <f t="shared" si="11"/>
        <v>0.14000000000000001</v>
      </c>
      <c r="L19" s="39">
        <f t="shared" si="4"/>
        <v>134.4</v>
      </c>
      <c r="M19" s="40">
        <f t="shared" si="5"/>
        <v>0</v>
      </c>
      <c r="N19" s="39">
        <f t="shared" ca="1" si="6"/>
        <v>-4.8939806215216421</v>
      </c>
      <c r="O19" s="39">
        <f t="shared" ca="1" si="7"/>
        <v>846</v>
      </c>
      <c r="P19" s="39">
        <f t="shared" ca="1" si="8"/>
        <v>68.391152688631593</v>
      </c>
      <c r="Q19" s="39">
        <f t="shared" ca="1" si="9"/>
        <v>-402357.6</v>
      </c>
      <c r="R19" s="41">
        <f t="shared" ca="1" si="10"/>
        <v>-8389.7924916781612</v>
      </c>
    </row>
    <row r="20" spans="1:18" ht="14.25" thickTop="1" thickBot="1">
      <c r="A20" s="45"/>
      <c r="B20" s="121"/>
      <c r="C20" s="121"/>
      <c r="D20" s="121"/>
      <c r="E20" s="121"/>
      <c r="F20" s="96"/>
      <c r="G20" s="45"/>
      <c r="H20" s="45"/>
      <c r="I20" s="45"/>
      <c r="J20" s="45"/>
      <c r="K20" s="29">
        <f t="shared" si="11"/>
        <v>0.16</v>
      </c>
      <c r="L20" s="39">
        <f t="shared" si="4"/>
        <v>153.6</v>
      </c>
      <c r="M20" s="40">
        <f t="shared" si="5"/>
        <v>0</v>
      </c>
      <c r="N20" s="39">
        <f t="shared" ca="1" si="6"/>
        <v>-6.3197570577726792</v>
      </c>
      <c r="O20" s="39">
        <f t="shared" ca="1" si="7"/>
        <v>846</v>
      </c>
      <c r="P20" s="39">
        <f t="shared" ca="1" si="8"/>
        <v>68.391152688631593</v>
      </c>
      <c r="Q20" s="39">
        <f t="shared" ca="1" si="9"/>
        <v>-386114.4</v>
      </c>
      <c r="R20" s="41">
        <f t="shared" ca="1" si="10"/>
        <v>-8051.0960748568414</v>
      </c>
    </row>
    <row r="21" spans="1:18" ht="13.5" thickTop="1">
      <c r="A21" s="45"/>
      <c r="B21" s="121"/>
      <c r="C21" s="121"/>
      <c r="D21" s="121"/>
      <c r="E21" s="121"/>
      <c r="F21" s="97"/>
      <c r="G21" s="88" t="s">
        <v>320</v>
      </c>
      <c r="H21" s="45"/>
      <c r="I21" s="80" t="s">
        <v>318</v>
      </c>
      <c r="J21" s="45"/>
      <c r="K21" s="29">
        <f t="shared" si="11"/>
        <v>0.18</v>
      </c>
      <c r="L21" s="39">
        <f t="shared" si="4"/>
        <v>172.79999999999998</v>
      </c>
      <c r="M21" s="40">
        <f t="shared" si="5"/>
        <v>0</v>
      </c>
      <c r="N21" s="39">
        <f t="shared" ca="1" si="6"/>
        <v>-7.9068354536451935</v>
      </c>
      <c r="O21" s="39">
        <f t="shared" ca="1" si="7"/>
        <v>846</v>
      </c>
      <c r="P21" s="39">
        <f t="shared" ca="1" si="8"/>
        <v>68.391152688631593</v>
      </c>
      <c r="Q21" s="39">
        <f t="shared" ca="1" si="9"/>
        <v>-369871.2</v>
      </c>
      <c r="R21" s="41">
        <f t="shared" ca="1" si="10"/>
        <v>-7712.3996580355188</v>
      </c>
    </row>
    <row r="22" spans="1:18">
      <c r="A22" s="110" t="s">
        <v>316</v>
      </c>
      <c r="B22" s="121"/>
      <c r="C22" s="121"/>
      <c r="D22" s="121"/>
      <c r="E22" s="121"/>
      <c r="F22" s="127"/>
      <c r="G22" s="90" t="s">
        <v>322</v>
      </c>
      <c r="H22" s="45"/>
      <c r="I22" s="82" t="s">
        <v>296</v>
      </c>
      <c r="J22" s="45"/>
      <c r="K22" s="29">
        <f t="shared" si="11"/>
        <v>0.19999999999999998</v>
      </c>
      <c r="L22" s="39">
        <f t="shared" si="4"/>
        <v>191.99999999999997</v>
      </c>
      <c r="M22" s="40">
        <f t="shared" si="5"/>
        <v>0</v>
      </c>
      <c r="N22" s="39">
        <f t="shared" ca="1" si="6"/>
        <v>-9.6484301000578299</v>
      </c>
      <c r="O22" s="39">
        <f t="shared" ca="1" si="7"/>
        <v>846</v>
      </c>
      <c r="P22" s="39">
        <f t="shared" ca="1" si="8"/>
        <v>68.391152688631593</v>
      </c>
      <c r="Q22" s="39">
        <f t="shared" ca="1" si="9"/>
        <v>-353628</v>
      </c>
      <c r="R22" s="41">
        <f t="shared" ca="1" si="10"/>
        <v>-7373.7032412141962</v>
      </c>
    </row>
    <row r="23" spans="1:18">
      <c r="A23" s="94">
        <f ca="1">IF(IsValidUser, (b - a)*wb + (b^2 - a^2)*wm/2,"Time To Pay")</f>
        <v>846</v>
      </c>
      <c r="B23" s="121"/>
      <c r="C23" s="121"/>
      <c r="D23" s="128" t="s">
        <v>319</v>
      </c>
      <c r="E23" s="121"/>
      <c r="F23" s="121"/>
      <c r="G23" s="82">
        <f ca="1">DEGREES(a_C1pp)</f>
        <v>-10.293990648325048</v>
      </c>
      <c r="H23" s="45"/>
      <c r="I23" s="86" t="s">
        <v>303</v>
      </c>
      <c r="J23" s="45"/>
      <c r="K23" s="29">
        <f t="shared" si="11"/>
        <v>0.21999999999999997</v>
      </c>
      <c r="L23" s="39">
        <f t="shared" si="4"/>
        <v>211.2</v>
      </c>
      <c r="M23" s="40">
        <f t="shared" si="5"/>
        <v>0</v>
      </c>
      <c r="N23" s="39">
        <f t="shared" ca="1" si="6"/>
        <v>-11.53775528792923</v>
      </c>
      <c r="O23" s="39">
        <f t="shared" ca="1" si="7"/>
        <v>846</v>
      </c>
      <c r="P23" s="39">
        <f t="shared" ca="1" si="8"/>
        <v>68.391152688631593</v>
      </c>
      <c r="Q23" s="39">
        <f t="shared" ca="1" si="9"/>
        <v>-337384.80000000005</v>
      </c>
      <c r="R23" s="41">
        <f t="shared" ca="1" si="10"/>
        <v>-7035.0068243928754</v>
      </c>
    </row>
    <row r="24" spans="1:18" ht="13.5" thickBot="1">
      <c r="A24" s="94" t="str">
        <f>ForceUnits</f>
        <v>lb</v>
      </c>
      <c r="B24" s="121"/>
      <c r="C24" s="121"/>
      <c r="D24" s="121"/>
      <c r="E24" s="121"/>
      <c r="F24" s="121"/>
      <c r="G24" s="84" t="s">
        <v>323</v>
      </c>
      <c r="H24" s="45"/>
      <c r="I24" s="85">
        <f ca="1">IF(ABS(P10)/[0]!Strength &lt; 1, ABS(P10)/[0]!Strength, "FAILED.")</f>
        <v>2.8496313620263165E-3</v>
      </c>
      <c r="J24" s="45"/>
      <c r="K24" s="29">
        <f t="shared" si="11"/>
        <v>0.23999999999999996</v>
      </c>
      <c r="L24" s="39">
        <f t="shared" si="4"/>
        <v>230.39999999999998</v>
      </c>
      <c r="M24" s="40">
        <f t="shared" si="5"/>
        <v>0</v>
      </c>
      <c r="N24" s="39">
        <f t="shared" ca="1" si="6"/>
        <v>-13.568025308178026</v>
      </c>
      <c r="O24" s="39">
        <f t="shared" ca="1" si="7"/>
        <v>846</v>
      </c>
      <c r="P24" s="39">
        <f t="shared" ca="1" si="8"/>
        <v>68.391152688631593</v>
      </c>
      <c r="Q24" s="39">
        <f t="shared" ca="1" si="9"/>
        <v>-321141.59999999998</v>
      </c>
      <c r="R24" s="41">
        <f t="shared" ca="1" si="10"/>
        <v>-6696.3104075715519</v>
      </c>
    </row>
    <row r="25" spans="1:18" ht="14.25" thickTop="1" thickBot="1">
      <c r="A25" s="45"/>
      <c r="B25" s="121"/>
      <c r="C25" s="121"/>
      <c r="D25" s="121"/>
      <c r="E25" s="121"/>
      <c r="F25" s="121"/>
      <c r="G25" s="45"/>
      <c r="H25" s="45"/>
      <c r="I25" s="45"/>
      <c r="J25" s="87"/>
      <c r="K25" s="29">
        <f t="shared" si="11"/>
        <v>0.25999999999999995</v>
      </c>
      <c r="L25" s="39">
        <f t="shared" si="4"/>
        <v>249.59999999999997</v>
      </c>
      <c r="M25" s="40">
        <f t="shared" si="5"/>
        <v>0</v>
      </c>
      <c r="N25" s="39">
        <f t="shared" ca="1" si="6"/>
        <v>-15.732454451722868</v>
      </c>
      <c r="O25" s="39">
        <f t="shared" ca="1" si="7"/>
        <v>846</v>
      </c>
      <c r="P25" s="39">
        <f t="shared" ca="1" si="8"/>
        <v>68.391152688631593</v>
      </c>
      <c r="Q25" s="39">
        <f t="shared" ca="1" si="9"/>
        <v>-304898.40000000002</v>
      </c>
      <c r="R25" s="41">
        <f t="shared" ca="1" si="10"/>
        <v>-6357.6139907502311</v>
      </c>
    </row>
    <row r="26" spans="1:18" ht="13.5" thickTop="1">
      <c r="A26" s="45"/>
      <c r="B26" s="121"/>
      <c r="C26" s="121"/>
      <c r="D26" s="121"/>
      <c r="E26" s="121"/>
      <c r="F26" s="121"/>
      <c r="G26" s="45"/>
      <c r="H26" s="45"/>
      <c r="I26" s="89" t="s">
        <v>321</v>
      </c>
      <c r="J26" s="87"/>
      <c r="K26" s="29">
        <f t="shared" si="11"/>
        <v>0.27999999999999997</v>
      </c>
      <c r="L26" s="39">
        <f t="shared" si="4"/>
        <v>268.79999999999995</v>
      </c>
      <c r="M26" s="40">
        <f t="shared" si="5"/>
        <v>0</v>
      </c>
      <c r="N26" s="39">
        <f t="shared" ca="1" si="6"/>
        <v>-18.02425700948239</v>
      </c>
      <c r="O26" s="39">
        <f t="shared" ca="1" si="7"/>
        <v>846</v>
      </c>
      <c r="P26" s="39">
        <f t="shared" ca="1" si="8"/>
        <v>68.391152688631593</v>
      </c>
      <c r="Q26" s="39">
        <f t="shared" ca="1" si="9"/>
        <v>-288655.20000000007</v>
      </c>
      <c r="R26" s="41">
        <f t="shared" ca="1" si="10"/>
        <v>-6018.9175739289103</v>
      </c>
    </row>
    <row r="27" spans="1:18">
      <c r="A27" s="45"/>
      <c r="B27" s="121"/>
      <c r="C27" s="121"/>
      <c r="D27" s="121"/>
      <c r="E27" s="121"/>
      <c r="F27" s="121"/>
      <c r="G27" s="45"/>
      <c r="H27" s="45"/>
      <c r="I27" s="91" t="s">
        <v>295</v>
      </c>
      <c r="J27" s="87"/>
      <c r="K27" s="29">
        <f t="shared" si="11"/>
        <v>0.3</v>
      </c>
      <c r="L27" s="39">
        <f t="shared" si="4"/>
        <v>288</v>
      </c>
      <c r="M27" s="40">
        <f t="shared" si="5"/>
        <v>0</v>
      </c>
      <c r="N27" s="39">
        <f t="shared" ca="1" si="6"/>
        <v>-20.436647272375243</v>
      </c>
      <c r="O27" s="39">
        <f t="shared" ca="1" si="7"/>
        <v>846</v>
      </c>
      <c r="P27" s="39">
        <f t="shared" ca="1" si="8"/>
        <v>68.391152688631593</v>
      </c>
      <c r="Q27" s="39">
        <f t="shared" ca="1" si="9"/>
        <v>-272412</v>
      </c>
      <c r="R27" s="41">
        <f t="shared" ca="1" si="10"/>
        <v>-5680.2211571075868</v>
      </c>
    </row>
    <row r="28" spans="1:18">
      <c r="A28" s="45"/>
      <c r="B28" s="121"/>
      <c r="C28" s="121"/>
      <c r="D28" s="121"/>
      <c r="E28" s="121"/>
      <c r="F28" s="121"/>
      <c r="G28" s="45"/>
      <c r="H28" s="45"/>
      <c r="I28" s="664">
        <f ca="1">N10</f>
        <v>-135.41944569411618</v>
      </c>
      <c r="J28" s="87"/>
      <c r="K28" s="29">
        <f t="shared" si="11"/>
        <v>0.32</v>
      </c>
      <c r="L28" s="39">
        <f t="shared" si="4"/>
        <v>307.2</v>
      </c>
      <c r="M28" s="40">
        <f t="shared" si="5"/>
        <v>0</v>
      </c>
      <c r="N28" s="39">
        <f t="shared" ca="1" si="6"/>
        <v>-22.962839531320057</v>
      </c>
      <c r="O28" s="39">
        <f t="shared" ca="1" si="7"/>
        <v>846</v>
      </c>
      <c r="P28" s="39">
        <f t="shared" ca="1" si="8"/>
        <v>68.391152688631593</v>
      </c>
      <c r="Q28" s="39">
        <f t="shared" ca="1" si="9"/>
        <v>-256168.80000000002</v>
      </c>
      <c r="R28" s="41">
        <f t="shared" ca="1" si="10"/>
        <v>-5341.5247402862651</v>
      </c>
    </row>
    <row r="29" spans="1:18" ht="13.5" thickBot="1">
      <c r="A29" s="45"/>
      <c r="B29" s="121"/>
      <c r="C29" s="121"/>
      <c r="D29" s="121"/>
      <c r="E29" s="121"/>
      <c r="F29" s="121"/>
      <c r="G29" s="45"/>
      <c r="H29" s="45"/>
      <c r="I29" s="92" t="str">
        <f>DistanceUnits</f>
        <v>in</v>
      </c>
      <c r="J29" s="87"/>
      <c r="K29" s="29">
        <f t="shared" si="11"/>
        <v>0.34</v>
      </c>
      <c r="L29" s="39">
        <f t="shared" si="4"/>
        <v>326.40000000000003</v>
      </c>
      <c r="M29" s="40">
        <f t="shared" si="5"/>
        <v>0</v>
      </c>
      <c r="N29" s="39">
        <f t="shared" ca="1" si="6"/>
        <v>-25.59604807723548</v>
      </c>
      <c r="O29" s="39">
        <f t="shared" ca="1" si="7"/>
        <v>846</v>
      </c>
      <c r="P29" s="39">
        <f t="shared" ca="1" si="8"/>
        <v>68.391152688631593</v>
      </c>
      <c r="Q29" s="39">
        <f t="shared" ca="1" si="9"/>
        <v>-239925.59999999998</v>
      </c>
      <c r="R29" s="41">
        <f t="shared" ca="1" si="10"/>
        <v>-5002.8283234649425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11"/>
        <v>0.36000000000000004</v>
      </c>
      <c r="L30" s="39">
        <f t="shared" si="4"/>
        <v>345.6</v>
      </c>
      <c r="M30" s="40">
        <f t="shared" si="5"/>
        <v>0</v>
      </c>
      <c r="N30" s="39">
        <f t="shared" ca="1" si="6"/>
        <v>-28.329487201040138</v>
      </c>
      <c r="O30" s="39">
        <f t="shared" ca="1" si="7"/>
        <v>846</v>
      </c>
      <c r="P30" s="39">
        <f t="shared" ca="1" si="8"/>
        <v>68.391152688631593</v>
      </c>
      <c r="Q30" s="39">
        <f t="shared" ca="1" si="9"/>
        <v>-223682.39999999997</v>
      </c>
      <c r="R30" s="41">
        <f t="shared" ca="1" si="10"/>
        <v>-4664.1319066436199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11"/>
        <v>0.38000000000000006</v>
      </c>
      <c r="L31" s="39">
        <f t="shared" si="4"/>
        <v>364.80000000000007</v>
      </c>
      <c r="M31" s="40">
        <f t="shared" si="5"/>
        <v>0</v>
      </c>
      <c r="N31" s="39">
        <f t="shared" ca="1" si="6"/>
        <v>-31.156371193652685</v>
      </c>
      <c r="O31" s="39">
        <f t="shared" ca="1" si="7"/>
        <v>846</v>
      </c>
      <c r="P31" s="39">
        <f t="shared" ca="1" si="8"/>
        <v>68.391152688631593</v>
      </c>
      <c r="Q31" s="39">
        <f t="shared" ca="1" si="9"/>
        <v>-207439.19999999995</v>
      </c>
      <c r="R31" s="41">
        <f t="shared" ca="1" si="10"/>
        <v>-4325.4354898222982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11"/>
        <v>0.40000000000000008</v>
      </c>
      <c r="L32" s="39">
        <f t="shared" si="4"/>
        <v>384.00000000000006</v>
      </c>
      <c r="M32" s="40">
        <f t="shared" si="5"/>
        <v>0</v>
      </c>
      <c r="N32" s="39">
        <f t="shared" ca="1" si="6"/>
        <v>-34.069914345991769</v>
      </c>
      <c r="O32" s="39">
        <f t="shared" ca="1" si="7"/>
        <v>846</v>
      </c>
      <c r="P32" s="39">
        <f t="shared" ca="1" si="8"/>
        <v>68.391152688631593</v>
      </c>
      <c r="Q32" s="39">
        <f t="shared" ca="1" si="9"/>
        <v>-191195.99999999994</v>
      </c>
      <c r="R32" s="41">
        <f t="shared" ca="1" si="10"/>
        <v>-3986.7390730009761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846</v>
      </c>
      <c r="J33" s="87"/>
      <c r="K33" s="29">
        <f t="shared" si="11"/>
        <v>0.4200000000000001</v>
      </c>
      <c r="L33" s="39">
        <f t="shared" si="4"/>
        <v>403.2000000000001</v>
      </c>
      <c r="M33" s="40">
        <f t="shared" si="5"/>
        <v>0</v>
      </c>
      <c r="N33" s="39">
        <f t="shared" ca="1" si="6"/>
        <v>-37.063330948976017</v>
      </c>
      <c r="O33" s="39">
        <f t="shared" ca="1" si="7"/>
        <v>846</v>
      </c>
      <c r="P33" s="39">
        <f t="shared" ca="1" si="8"/>
        <v>68.391152688631593</v>
      </c>
      <c r="Q33" s="39">
        <f t="shared" ca="1" si="9"/>
        <v>-174952.79999999993</v>
      </c>
      <c r="R33" s="41">
        <f t="shared" ca="1" si="10"/>
        <v>-3648.0426561796539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11"/>
        <v>0.44000000000000011</v>
      </c>
      <c r="L34" s="39">
        <f t="shared" si="4"/>
        <v>422.40000000000009</v>
      </c>
      <c r="M34" s="40">
        <f t="shared" si="5"/>
        <v>0</v>
      </c>
      <c r="N34" s="39">
        <f t="shared" ca="1" si="6"/>
        <v>-40.129835293524067</v>
      </c>
      <c r="O34" s="39">
        <f t="shared" ca="1" si="7"/>
        <v>846</v>
      </c>
      <c r="P34" s="39">
        <f t="shared" ca="1" si="8"/>
        <v>68.391152688631593</v>
      </c>
      <c r="Q34" s="39">
        <f t="shared" ca="1" si="9"/>
        <v>-158709.59999999992</v>
      </c>
      <c r="R34" s="41">
        <f t="shared" ca="1" si="10"/>
        <v>-3309.3462393583313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11"/>
        <v>0.46000000000000013</v>
      </c>
      <c r="L35" s="39">
        <f t="shared" si="4"/>
        <v>441.60000000000014</v>
      </c>
      <c r="M35" s="40">
        <f t="shared" si="5"/>
        <v>0</v>
      </c>
      <c r="N35" s="39">
        <f t="shared" ca="1" si="6"/>
        <v>-43.262641670554572</v>
      </c>
      <c r="O35" s="39">
        <f t="shared" ca="1" si="7"/>
        <v>846</v>
      </c>
      <c r="P35" s="39">
        <f t="shared" ca="1" si="8"/>
        <v>68.391152688631593</v>
      </c>
      <c r="Q35" s="39">
        <f t="shared" ca="1" si="9"/>
        <v>-142466.39999999991</v>
      </c>
      <c r="R35" s="41">
        <f t="shared" ca="1" si="10"/>
        <v>-2970.6498225370092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11"/>
        <v>0.48000000000000015</v>
      </c>
      <c r="L36" s="39">
        <f t="shared" si="4"/>
        <v>460.80000000000013</v>
      </c>
      <c r="M36" s="40">
        <f t="shared" si="5"/>
        <v>0</v>
      </c>
      <c r="N36" s="39">
        <f t="shared" ca="1" si="6"/>
        <v>-46.454964370986161</v>
      </c>
      <c r="O36" s="39">
        <f t="shared" ca="1" si="7"/>
        <v>846</v>
      </c>
      <c r="P36" s="39">
        <f t="shared" ca="1" si="8"/>
        <v>68.391152688631593</v>
      </c>
      <c r="Q36" s="39">
        <f t="shared" ca="1" si="9"/>
        <v>-126223.1999999999</v>
      </c>
      <c r="R36" s="41">
        <f t="shared" ca="1" si="10"/>
        <v>-2631.953405715687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11"/>
        <v>0.50000000000000011</v>
      </c>
      <c r="L37" s="39">
        <f t="shared" si="4"/>
        <v>480.00000000000011</v>
      </c>
      <c r="M37" s="40">
        <f t="shared" si="5"/>
        <v>0</v>
      </c>
      <c r="N37" s="39">
        <f t="shared" ca="1" si="6"/>
        <v>-49.700017685737478</v>
      </c>
      <c r="O37" s="39">
        <f t="shared" ca="1" si="7"/>
        <v>846</v>
      </c>
      <c r="P37" s="39">
        <f t="shared" ca="1" si="8"/>
        <v>68.391152688631593</v>
      </c>
      <c r="Q37" s="39">
        <f t="shared" ca="1" si="9"/>
        <v>-109979.99999999988</v>
      </c>
      <c r="R37" s="41">
        <f t="shared" ca="1" si="10"/>
        <v>-2293.2569888943649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0</v>
      </c>
      <c r="J38" s="87"/>
      <c r="K38" s="29">
        <f t="shared" si="11"/>
        <v>0.52000000000000013</v>
      </c>
      <c r="L38" s="39">
        <f t="shared" si="4"/>
        <v>499.2000000000001</v>
      </c>
      <c r="M38" s="40">
        <f t="shared" si="5"/>
        <v>0</v>
      </c>
      <c r="N38" s="39">
        <f t="shared" ca="1" si="6"/>
        <v>-52.991015905727167</v>
      </c>
      <c r="O38" s="39">
        <f t="shared" ca="1" si="7"/>
        <v>846</v>
      </c>
      <c r="P38" s="39">
        <f t="shared" ca="1" si="8"/>
        <v>68.391152688631593</v>
      </c>
      <c r="Q38" s="39">
        <f t="shared" ca="1" si="9"/>
        <v>-93736.79999999993</v>
      </c>
      <c r="R38" s="41">
        <f t="shared" ca="1" si="10"/>
        <v>-1954.5605720730439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11"/>
        <v>0.54000000000000015</v>
      </c>
      <c r="L39" s="39">
        <f t="shared" si="4"/>
        <v>518.40000000000009</v>
      </c>
      <c r="M39" s="40">
        <f t="shared" si="5"/>
        <v>0</v>
      </c>
      <c r="N39" s="39">
        <f t="shared" ca="1" si="6"/>
        <v>-56.321173321873871</v>
      </c>
      <c r="O39" s="39">
        <f t="shared" ca="1" si="7"/>
        <v>846</v>
      </c>
      <c r="P39" s="39">
        <f t="shared" ca="1" si="8"/>
        <v>68.391152688631593</v>
      </c>
      <c r="Q39" s="39">
        <f t="shared" ca="1" si="9"/>
        <v>-77493.599999999919</v>
      </c>
      <c r="R39" s="41">
        <f t="shared" ca="1" si="10"/>
        <v>-1615.8641552517217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11"/>
        <v>0.56000000000000016</v>
      </c>
      <c r="L40" s="39">
        <f t="shared" si="4"/>
        <v>537.60000000000014</v>
      </c>
      <c r="M40" s="40">
        <f t="shared" si="5"/>
        <v>4.7</v>
      </c>
      <c r="N40" s="39">
        <f t="shared" ca="1" si="6"/>
        <v>-59.683725519156283</v>
      </c>
      <c r="O40" s="39">
        <f t="shared" ca="1" si="7"/>
        <v>763.2799999999994</v>
      </c>
      <c r="P40" s="39">
        <f t="shared" ca="1" si="8"/>
        <v>61.704017759076457</v>
      </c>
      <c r="Q40" s="39">
        <f t="shared" ca="1" si="9"/>
        <v>-61978.335999999916</v>
      </c>
      <c r="R40" s="41">
        <f t="shared" ca="1" si="10"/>
        <v>-1292.3463556286886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11"/>
        <v>0.58000000000000018</v>
      </c>
      <c r="L41" s="39">
        <f t="shared" si="4"/>
        <v>556.80000000000018</v>
      </c>
      <c r="M41" s="40">
        <f t="shared" si="5"/>
        <v>4.7</v>
      </c>
      <c r="N41" s="39">
        <f t="shared" ca="1" si="6"/>
        <v>-63.072229910688534</v>
      </c>
      <c r="O41" s="39">
        <f t="shared" ca="1" si="7"/>
        <v>673.03999999999917</v>
      </c>
      <c r="P41" s="39">
        <f t="shared" ca="1" si="8"/>
        <v>54.408961472289072</v>
      </c>
      <c r="Q41" s="39">
        <f t="shared" ca="1" si="9"/>
        <v>-48189.663999999866</v>
      </c>
      <c r="R41" s="41">
        <f t="shared" ca="1" si="10"/>
        <v>-1004.8307306825876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11"/>
        <v>0.6000000000000002</v>
      </c>
      <c r="L42" s="39">
        <f t="shared" si="4"/>
        <v>576.00000000000023</v>
      </c>
      <c r="M42" s="40">
        <f t="shared" si="5"/>
        <v>4.7</v>
      </c>
      <c r="N42" s="39">
        <f t="shared" ca="1" si="6"/>
        <v>-66.480926184882577</v>
      </c>
      <c r="O42" s="39">
        <f t="shared" ca="1" si="7"/>
        <v>582.79999999999893</v>
      </c>
      <c r="P42" s="39">
        <f t="shared" ca="1" si="8"/>
        <v>47.113905185501679</v>
      </c>
      <c r="Q42" s="39">
        <f t="shared" ca="1" si="9"/>
        <v>-36133.599999999889</v>
      </c>
      <c r="R42" s="41">
        <f t="shared" ca="1" si="10"/>
        <v>-753.44272353076246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0</v>
      </c>
      <c r="J43" s="87"/>
      <c r="K43" s="29">
        <f t="shared" si="11"/>
        <v>0.62000000000000022</v>
      </c>
      <c r="L43" s="39">
        <f t="shared" si="4"/>
        <v>595.20000000000016</v>
      </c>
      <c r="M43" s="40">
        <f t="shared" si="5"/>
        <v>4.7</v>
      </c>
      <c r="N43" s="39">
        <f t="shared" ca="1" si="6"/>
        <v>-69.904777837664753</v>
      </c>
      <c r="O43" s="39">
        <f t="shared" ca="1" si="7"/>
        <v>492.55999999999926</v>
      </c>
      <c r="P43" s="39">
        <f t="shared" ca="1" si="8"/>
        <v>39.818848898714336</v>
      </c>
      <c r="Q43" s="39">
        <f t="shared" ca="1" si="9"/>
        <v>-25810.143999999927</v>
      </c>
      <c r="R43" s="41">
        <f t="shared" ca="1" si="10"/>
        <v>-538.18233417321198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11"/>
        <v>0.64000000000000024</v>
      </c>
      <c r="L44" s="39">
        <f t="shared" ref="L44:L62" si="12">L*K44</f>
        <v>614.4000000000002</v>
      </c>
      <c r="M44" s="40">
        <f t="shared" ref="M44:M62" si="13">IF(AND(a&lt;=x,x&lt;=b),wm*x+wb,0)</f>
        <v>4.7</v>
      </c>
      <c r="N44" s="39">
        <f t="shared" ref="N44:N62" ca="1" si="14">IF(AND(0 &lt;= x, x &lt;= a), a_C2 + a_C1*x - (Ma*x^2)/(2*(E*Ix)) + (Ra*x^3)/(6*(E*Ix)), IF(AND(a &lt; x, x &lt;= b), a_C2p + a_C1p*x + (-(Ma*x^2)/2 + (Ra*x^3)/6 + wb*(-(a^2*x^2)/4 + (a*x^3)/6 -  x^4/24) + wm*(-(a^3*x^2)/6 + (a^2*x^3)/12 - x^5/120))/(E*Ix), a_C2pp + a_C1pp*x))</f>
        <v>-73.339472173929934</v>
      </c>
      <c r="O44" s="39">
        <f t="shared" ref="O44:O62" ca="1" si="15">IF(AND(0&lt;=x,x&lt;=a),Ra,IF(AND(a&lt;x,x&lt;=b),Ra + (a - x)*wb + (a^2 - x^2)*wm/2, 0))</f>
        <v>402.31999999999903</v>
      </c>
      <c r="P44" s="39">
        <f t="shared" ref="P44:P62" ca="1" si="16">V/A_CS</f>
        <v>32.523792611926943</v>
      </c>
      <c r="Q44" s="39">
        <f t="shared" ref="Q44:Q62" ca="1" si="17">IF(AND(0&lt;=x,x&lt;=a),Ra*x - Ma,IF(AND(a&lt;x,x&lt;=b),-Ma + Ra*x - (wb*(x - a)^2)/2 + wm*(-a^3/3 + (a^2*x)/2 - x^3/6), 0))</f>
        <v>-17219.295999999893</v>
      </c>
      <c r="R44" s="41">
        <f t="shared" ref="R44:R62" ca="1" si="18">Ybar*Q44/Ix</f>
        <v>-359.04956260993436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9">K44+0.02</f>
        <v>0.66000000000000025</v>
      </c>
      <c r="L45" s="39">
        <f t="shared" si="12"/>
        <v>633.60000000000025</v>
      </c>
      <c r="M45" s="40">
        <f t="shared" si="13"/>
        <v>4.7</v>
      </c>
      <c r="N45" s="39">
        <f t="shared" ca="1" si="14"/>
        <v>-76.78142030754185</v>
      </c>
      <c r="O45" s="39">
        <f t="shared" ca="1" si="15"/>
        <v>312.07999999999879</v>
      </c>
      <c r="P45" s="39">
        <f t="shared" ca="1" si="16"/>
        <v>25.228736325139558</v>
      </c>
      <c r="Q45" s="39">
        <f t="shared" ca="1" si="17"/>
        <v>-10361.055999999928</v>
      </c>
      <c r="R45" s="41">
        <f t="shared" ca="1" si="18"/>
        <v>-216.04440884093248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9"/>
        <v>0.68000000000000027</v>
      </c>
      <c r="L46" s="39">
        <f t="shared" si="12"/>
        <v>652.8000000000003</v>
      </c>
      <c r="M46" s="40">
        <f t="shared" si="13"/>
        <v>4.7</v>
      </c>
      <c r="N46" s="39">
        <f t="shared" ca="1" si="14"/>
        <v>-80.227757161332761</v>
      </c>
      <c r="O46" s="39">
        <f t="shared" ca="1" si="15"/>
        <v>221.83999999999855</v>
      </c>
      <c r="P46" s="39">
        <f t="shared" ca="1" si="16"/>
        <v>17.933680038352168</v>
      </c>
      <c r="Q46" s="39">
        <f t="shared" ca="1" si="17"/>
        <v>-5235.4239999999118</v>
      </c>
      <c r="R46" s="41">
        <f t="shared" ca="1" si="18"/>
        <v>-109.16687286620387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9"/>
        <v>0.70000000000000029</v>
      </c>
      <c r="L47" s="39">
        <f t="shared" si="12"/>
        <v>672.00000000000023</v>
      </c>
      <c r="M47" s="40">
        <f t="shared" si="13"/>
        <v>4.7</v>
      </c>
      <c r="N47" s="39">
        <f t="shared" ca="1" si="14"/>
        <v>-83.67634146710364</v>
      </c>
      <c r="O47" s="39">
        <f t="shared" ca="1" si="15"/>
        <v>131.59999999999889</v>
      </c>
      <c r="P47" s="39">
        <f t="shared" ca="1" si="16"/>
        <v>10.638623751564825</v>
      </c>
      <c r="Q47" s="39">
        <f t="shared" ca="1" si="17"/>
        <v>-1842.3999999999287</v>
      </c>
      <c r="R47" s="41">
        <f t="shared" ca="1" si="18"/>
        <v>-38.416954685750305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-516060</v>
      </c>
      <c r="J48" s="87"/>
      <c r="K48" s="29">
        <f t="shared" si="19"/>
        <v>0.72000000000000031</v>
      </c>
      <c r="L48" s="39">
        <f t="shared" si="12"/>
        <v>691.20000000000027</v>
      </c>
      <c r="M48" s="40">
        <f t="shared" si="13"/>
        <v>4.7</v>
      </c>
      <c r="N48" s="39">
        <f t="shared" ca="1" si="14"/>
        <v>-87.125755765624248</v>
      </c>
      <c r="O48" s="39">
        <f t="shared" ca="1" si="15"/>
        <v>41.359999999998649</v>
      </c>
      <c r="P48" s="39">
        <f t="shared" ca="1" si="16"/>
        <v>3.3435674647774354</v>
      </c>
      <c r="Q48" s="39">
        <f t="shared" ca="1" si="17"/>
        <v>-181.9840000000404</v>
      </c>
      <c r="R48" s="41">
        <f t="shared" ca="1" si="18"/>
        <v>-3.7946542995730606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9"/>
        <v>0.74000000000000032</v>
      </c>
      <c r="L49" s="39">
        <f t="shared" si="12"/>
        <v>710.40000000000032</v>
      </c>
      <c r="M49" s="40">
        <f t="shared" si="13"/>
        <v>0</v>
      </c>
      <c r="N49" s="39">
        <f t="shared" ca="1" si="14"/>
        <v>-90.575303810414823</v>
      </c>
      <c r="O49" s="39">
        <f t="shared" si="15"/>
        <v>0</v>
      </c>
      <c r="P49" s="39">
        <f t="shared" si="16"/>
        <v>0</v>
      </c>
      <c r="Q49" s="39">
        <f t="shared" si="17"/>
        <v>0</v>
      </c>
      <c r="R49" s="41">
        <f t="shared" si="18"/>
        <v>0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9"/>
        <v>0.76000000000000034</v>
      </c>
      <c r="L50" s="39">
        <f t="shared" si="12"/>
        <v>729.60000000000036</v>
      </c>
      <c r="M50" s="40">
        <f t="shared" si="13"/>
        <v>0</v>
      </c>
      <c r="N50" s="39">
        <f t="shared" ca="1" si="14"/>
        <v>-94.024853186084158</v>
      </c>
      <c r="O50" s="39">
        <f t="shared" si="15"/>
        <v>0</v>
      </c>
      <c r="P50" s="39">
        <f t="shared" si="16"/>
        <v>0</v>
      </c>
      <c r="Q50" s="39">
        <f t="shared" si="17"/>
        <v>0</v>
      </c>
      <c r="R50" s="41">
        <f t="shared" si="18"/>
        <v>0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9"/>
        <v>0.78000000000000036</v>
      </c>
      <c r="L51" s="39">
        <f t="shared" si="12"/>
        <v>748.8000000000003</v>
      </c>
      <c r="M51" s="40">
        <f t="shared" si="13"/>
        <v>0</v>
      </c>
      <c r="N51" s="39">
        <f t="shared" ca="1" si="14"/>
        <v>-97.474402561753493</v>
      </c>
      <c r="O51" s="39">
        <f t="shared" si="15"/>
        <v>0</v>
      </c>
      <c r="P51" s="39">
        <f t="shared" si="16"/>
        <v>0</v>
      </c>
      <c r="Q51" s="39">
        <f t="shared" si="17"/>
        <v>0</v>
      </c>
      <c r="R51" s="41">
        <f t="shared" si="18"/>
        <v>0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9"/>
        <v>0.80000000000000038</v>
      </c>
      <c r="L52" s="39">
        <f t="shared" si="12"/>
        <v>768.00000000000034</v>
      </c>
      <c r="M52" s="40">
        <f t="shared" si="13"/>
        <v>0</v>
      </c>
      <c r="N52" s="39">
        <f t="shared" ca="1" si="14"/>
        <v>-100.92395193742283</v>
      </c>
      <c r="O52" s="39">
        <f t="shared" si="15"/>
        <v>0</v>
      </c>
      <c r="P52" s="39">
        <f t="shared" si="16"/>
        <v>0</v>
      </c>
      <c r="Q52" s="39">
        <f t="shared" si="17"/>
        <v>0</v>
      </c>
      <c r="R52" s="41">
        <f t="shared" si="18"/>
        <v>0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9"/>
        <v>0.8200000000000004</v>
      </c>
      <c r="L53" s="39">
        <f t="shared" si="12"/>
        <v>787.20000000000039</v>
      </c>
      <c r="M53" s="40">
        <f t="shared" si="13"/>
        <v>0</v>
      </c>
      <c r="N53" s="39">
        <f t="shared" ca="1" si="14"/>
        <v>-104.37350131309216</v>
      </c>
      <c r="O53" s="39">
        <f t="shared" si="15"/>
        <v>0</v>
      </c>
      <c r="P53" s="39">
        <f t="shared" si="16"/>
        <v>0</v>
      </c>
      <c r="Q53" s="39">
        <f t="shared" si="17"/>
        <v>0</v>
      </c>
      <c r="R53" s="41">
        <f t="shared" si="18"/>
        <v>0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9"/>
        <v>0.84000000000000041</v>
      </c>
      <c r="L54" s="39">
        <f t="shared" si="12"/>
        <v>806.40000000000043</v>
      </c>
      <c r="M54" s="40">
        <f t="shared" si="13"/>
        <v>0</v>
      </c>
      <c r="N54" s="39">
        <f t="shared" ca="1" si="14"/>
        <v>-107.8230506887615</v>
      </c>
      <c r="O54" s="39">
        <f t="shared" si="15"/>
        <v>0</v>
      </c>
      <c r="P54" s="39">
        <f t="shared" si="16"/>
        <v>0</v>
      </c>
      <c r="Q54" s="39">
        <f t="shared" si="17"/>
        <v>0</v>
      </c>
      <c r="R54" s="41">
        <f t="shared" si="18"/>
        <v>0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9"/>
        <v>0.86000000000000043</v>
      </c>
      <c r="L55" s="39">
        <f t="shared" si="12"/>
        <v>825.60000000000036</v>
      </c>
      <c r="M55" s="40">
        <f t="shared" si="13"/>
        <v>0</v>
      </c>
      <c r="N55" s="39">
        <f t="shared" ca="1" si="14"/>
        <v>-111.27260006443083</v>
      </c>
      <c r="O55" s="39">
        <f t="shared" si="15"/>
        <v>0</v>
      </c>
      <c r="P55" s="39">
        <f t="shared" si="16"/>
        <v>0</v>
      </c>
      <c r="Q55" s="39">
        <f t="shared" si="17"/>
        <v>0</v>
      </c>
      <c r="R55" s="41">
        <f t="shared" si="18"/>
        <v>0</v>
      </c>
    </row>
    <row r="56" spans="1:18">
      <c r="A56" s="45"/>
      <c r="B56" s="45"/>
      <c r="C56" s="45"/>
      <c r="D56" s="129" t="s">
        <v>326</v>
      </c>
      <c r="E56" s="129">
        <v>0</v>
      </c>
      <c r="F56" s="45"/>
      <c r="G56" s="45"/>
      <c r="H56" s="45"/>
      <c r="I56" s="45"/>
      <c r="J56" s="87"/>
      <c r="K56" s="29">
        <f t="shared" si="19"/>
        <v>0.88000000000000045</v>
      </c>
      <c r="L56" s="39">
        <f t="shared" si="12"/>
        <v>844.80000000000041</v>
      </c>
      <c r="M56" s="40">
        <f t="shared" si="13"/>
        <v>0</v>
      </c>
      <c r="N56" s="39">
        <f t="shared" ca="1" si="14"/>
        <v>-114.72214944010017</v>
      </c>
      <c r="O56" s="39">
        <f t="shared" si="15"/>
        <v>0</v>
      </c>
      <c r="P56" s="39">
        <f t="shared" si="16"/>
        <v>0</v>
      </c>
      <c r="Q56" s="39">
        <f t="shared" si="17"/>
        <v>0</v>
      </c>
      <c r="R56" s="41">
        <f t="shared" si="18"/>
        <v>0</v>
      </c>
    </row>
    <row r="57" spans="1:18">
      <c r="A57" s="45"/>
      <c r="B57" s="45"/>
      <c r="C57" s="45"/>
      <c r="D57" s="129" t="s">
        <v>327</v>
      </c>
      <c r="E57" s="129">
        <v>0</v>
      </c>
      <c r="F57" s="45"/>
      <c r="G57" s="45"/>
      <c r="H57" s="45"/>
      <c r="I57" s="45"/>
      <c r="J57" s="87"/>
      <c r="K57" s="29">
        <f t="shared" si="19"/>
        <v>0.90000000000000047</v>
      </c>
      <c r="L57" s="39">
        <f t="shared" si="12"/>
        <v>864.00000000000045</v>
      </c>
      <c r="M57" s="40">
        <f t="shared" si="13"/>
        <v>0</v>
      </c>
      <c r="N57" s="39">
        <f t="shared" ca="1" si="14"/>
        <v>-118.1716988157695</v>
      </c>
      <c r="O57" s="39">
        <f t="shared" si="15"/>
        <v>0</v>
      </c>
      <c r="P57" s="39">
        <f t="shared" si="16"/>
        <v>0</v>
      </c>
      <c r="Q57" s="39">
        <f t="shared" si="17"/>
        <v>0</v>
      </c>
      <c r="R57" s="41">
        <f t="shared" si="18"/>
        <v>0</v>
      </c>
    </row>
    <row r="58" spans="1:18">
      <c r="A58" s="45"/>
      <c r="B58" s="45"/>
      <c r="C58" s="45"/>
      <c r="D58" s="129" t="s">
        <v>328</v>
      </c>
      <c r="E58" s="129">
        <f>((a^3*wb)/6 + (a^4*wm)/8)/(E*Ix)</f>
        <v>0.12481817427476588</v>
      </c>
      <c r="F58" s="45"/>
      <c r="G58" s="45"/>
      <c r="H58" s="45"/>
      <c r="I58" s="45"/>
      <c r="J58" s="87"/>
      <c r="K58" s="29">
        <f t="shared" si="19"/>
        <v>0.92000000000000048</v>
      </c>
      <c r="L58" s="39">
        <f t="shared" si="12"/>
        <v>883.2000000000005</v>
      </c>
      <c r="M58" s="40">
        <f t="shared" si="13"/>
        <v>0</v>
      </c>
      <c r="N58" s="39">
        <f t="shared" ca="1" si="14"/>
        <v>-121.62124819143887</v>
      </c>
      <c r="O58" s="39">
        <f t="shared" si="15"/>
        <v>0</v>
      </c>
      <c r="P58" s="39">
        <f t="shared" si="16"/>
        <v>0</v>
      </c>
      <c r="Q58" s="39">
        <f t="shared" si="17"/>
        <v>0</v>
      </c>
      <c r="R58" s="41">
        <f t="shared" si="18"/>
        <v>0</v>
      </c>
    </row>
    <row r="59" spans="1:18" ht="15">
      <c r="A59" s="45"/>
      <c r="B59" s="45"/>
      <c r="C59" s="131"/>
      <c r="D59" s="129" t="s">
        <v>342</v>
      </c>
      <c r="E59" s="129">
        <f>(-(a^4*wb)/24 - (a^5*wm)/30)/(E*Ix)</f>
        <v>-16.226362655719566</v>
      </c>
      <c r="F59" s="45"/>
      <c r="G59" s="45"/>
      <c r="H59" s="45"/>
      <c r="I59" s="45"/>
      <c r="J59" s="87"/>
      <c r="K59" s="29">
        <f t="shared" si="19"/>
        <v>0.9400000000000005</v>
      </c>
      <c r="L59" s="39">
        <f t="shared" si="12"/>
        <v>902.40000000000043</v>
      </c>
      <c r="M59" s="40">
        <f t="shared" si="13"/>
        <v>0</v>
      </c>
      <c r="N59" s="39">
        <f t="shared" ca="1" si="14"/>
        <v>-125.07079756710817</v>
      </c>
      <c r="O59" s="39">
        <f t="shared" si="15"/>
        <v>0</v>
      </c>
      <c r="P59" s="39">
        <f t="shared" si="16"/>
        <v>0</v>
      </c>
      <c r="Q59" s="39">
        <f t="shared" si="17"/>
        <v>0</v>
      </c>
      <c r="R59" s="41">
        <f t="shared" si="18"/>
        <v>0</v>
      </c>
    </row>
    <row r="60" spans="1:18" ht="15">
      <c r="A60" s="45"/>
      <c r="B60" s="45"/>
      <c r="C60" s="131"/>
      <c r="D60" s="129" t="s">
        <v>343</v>
      </c>
      <c r="E60" s="129">
        <f ca="1">(-(b*Ma) + (b^2*Ra)/2 + ((a - b)^3*wb)/6 + ((a - b)^3*(3*a + b)*wm)/24)/(E*Ix)</f>
        <v>-0.17966402998277778</v>
      </c>
      <c r="F60" s="45"/>
      <c r="G60" s="45"/>
      <c r="H60" s="45"/>
      <c r="I60" s="45"/>
      <c r="J60" s="87"/>
      <c r="K60" s="29">
        <f t="shared" si="19"/>
        <v>0.96000000000000052</v>
      </c>
      <c r="L60" s="39">
        <f t="shared" si="12"/>
        <v>921.60000000000048</v>
      </c>
      <c r="M60" s="40">
        <f t="shared" si="13"/>
        <v>0</v>
      </c>
      <c r="N60" s="39">
        <f t="shared" ca="1" si="14"/>
        <v>-128.52034694277751</v>
      </c>
      <c r="O60" s="39">
        <f t="shared" si="15"/>
        <v>0</v>
      </c>
      <c r="P60" s="39">
        <f t="shared" si="16"/>
        <v>0</v>
      </c>
      <c r="Q60" s="39">
        <f t="shared" si="17"/>
        <v>0</v>
      </c>
      <c r="R60" s="41">
        <f t="shared" si="18"/>
        <v>0</v>
      </c>
    </row>
    <row r="61" spans="1:18">
      <c r="A61" s="45"/>
      <c r="B61" s="45"/>
      <c r="C61" s="45"/>
      <c r="D61" s="129" t="s">
        <v>344</v>
      </c>
      <c r="E61" s="129">
        <f ca="1">((b^2*Ma)/2 - (b^3*Ra)/3 + ((-a + b)^3*(a + 3*b)*wb)/24 +  ((-a + b)^3*(a^2 + 3*a*b + b^2)*wm)/30)/(E*Ix)</f>
        <v>37.058023089350577</v>
      </c>
      <c r="F61" s="45"/>
      <c r="G61" s="45"/>
      <c r="H61" s="45"/>
      <c r="I61" s="45"/>
      <c r="J61" s="87"/>
      <c r="K61" s="29">
        <f t="shared" si="19"/>
        <v>0.98000000000000054</v>
      </c>
      <c r="L61" s="39">
        <f t="shared" si="12"/>
        <v>940.80000000000052</v>
      </c>
      <c r="M61" s="40">
        <f t="shared" si="13"/>
        <v>0</v>
      </c>
      <c r="N61" s="39">
        <f t="shared" ca="1" si="14"/>
        <v>-131.96989631844687</v>
      </c>
      <c r="O61" s="39">
        <f t="shared" si="15"/>
        <v>0</v>
      </c>
      <c r="P61" s="39">
        <f t="shared" si="16"/>
        <v>0</v>
      </c>
      <c r="Q61" s="39">
        <f t="shared" si="17"/>
        <v>0</v>
      </c>
      <c r="R61" s="41">
        <f t="shared" si="18"/>
        <v>0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9"/>
        <v>1.0000000000000004</v>
      </c>
      <c r="L62" s="42">
        <f t="shared" si="12"/>
        <v>960.00000000000045</v>
      </c>
      <c r="M62" s="43">
        <f t="shared" si="13"/>
        <v>0</v>
      </c>
      <c r="N62" s="42">
        <f t="shared" ca="1" si="14"/>
        <v>-135.41944569411618</v>
      </c>
      <c r="O62" s="42">
        <f t="shared" si="15"/>
        <v>0</v>
      </c>
      <c r="P62" s="42">
        <f t="shared" si="16"/>
        <v>0</v>
      </c>
      <c r="Q62" s="42">
        <f t="shared" si="17"/>
        <v>0</v>
      </c>
      <c r="R62" s="44">
        <f t="shared" si="18"/>
        <v>0</v>
      </c>
    </row>
    <row r="63" spans="1:18" ht="13.5" thickTop="1">
      <c r="J63" s="320"/>
    </row>
    <row r="64" spans="1:18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honeticPr fontId="23" type="noConversion"/>
  <printOptions horizontalCentered="1" verticalCentered="1" gridLinesSet="0"/>
  <pageMargins left="0.75" right="0.75" top="0.6" bottom="0.6" header="0.5" footer="0.5"/>
  <pageSetup scale="63" orientation="landscape" horizontalDpi="4294967292" verticalDpi="4294967292" r:id="rId1"/>
  <headerFooter alignWithMargins="0"/>
  <drawing r:id="rId2"/>
  <legacyDrawing r:id="rId3"/>
  <oleObjects>
    <oleObject progId="MSPhotoEd.3" shapeId="16243" r:id="rId4"/>
    <oleObject progId="MSPhotoEd.3" shapeId="16244" r:id="rId5"/>
  </oleObjects>
</worksheet>
</file>

<file path=xl/worksheets/sheet13.xml><?xml version="1.0" encoding="utf-8"?>
<worksheet xmlns="http://schemas.openxmlformats.org/spreadsheetml/2006/main" xmlns:r="http://schemas.openxmlformats.org/officeDocument/2006/relationships">
  <sheetPr syncHorizontal="1" syncRef="A1" codeName="Sheet15">
    <pageSetUpPr fitToPage="1"/>
  </sheetPr>
  <dimension ref="A1:R96"/>
  <sheetViews>
    <sheetView showGridLines="0" defaultGridColor="0" colorId="8" workbookViewId="0">
      <selection activeCell="A14" sqref="A14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7.42578125" style="304" customWidth="1"/>
    <col min="8" max="8" width="1.42578125" style="304" customWidth="1"/>
    <col min="9" max="9" width="8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347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331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332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 t="s">
        <v>337</v>
      </c>
      <c r="D6" s="96" t="s">
        <v>338</v>
      </c>
      <c r="E6" s="96" t="s">
        <v>332</v>
      </c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/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339</v>
      </c>
      <c r="C7" s="96" t="s">
        <v>332</v>
      </c>
      <c r="D7" s="96" t="s">
        <v>332</v>
      </c>
      <c r="E7" s="96" t="s">
        <v>320</v>
      </c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21" thickTop="1" thickBot="1">
      <c r="A8" s="110"/>
      <c r="B8" s="111" t="s">
        <v>306</v>
      </c>
      <c r="C8" s="112" t="s">
        <v>340</v>
      </c>
      <c r="D8" s="112" t="s">
        <v>341</v>
      </c>
      <c r="E8" s="113" t="s">
        <v>271</v>
      </c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-7.1054273576010019E-15</v>
      </c>
      <c r="N8" s="27">
        <f t="shared" ca="1" si="0"/>
        <v>-8.3273965803230343E-4</v>
      </c>
      <c r="O8" s="27">
        <f t="shared" ca="1" si="0"/>
        <v>0</v>
      </c>
      <c r="P8" s="27">
        <f t="shared" ca="1" si="0"/>
        <v>0</v>
      </c>
      <c r="Q8" s="27">
        <f t="shared" ca="1" si="0"/>
        <v>-2160</v>
      </c>
      <c r="R8" s="28">
        <f t="shared" ca="1" si="0"/>
        <v>-45.03941713049494</v>
      </c>
    </row>
    <row r="9" spans="1:18" ht="14.25" thickTop="1" thickBot="1">
      <c r="A9" s="110"/>
      <c r="B9" s="115" t="str">
        <f>[0]!DistanceUnits</f>
        <v>in</v>
      </c>
      <c r="C9" s="116" t="str">
        <f>SUBSTITUTE(SUBSTITUTE("F/D", "F", ForceUnits), "D", DistanceUnits)</f>
        <v>lb/in</v>
      </c>
      <c r="D9" s="116" t="str">
        <f>SUBSTITUTE(SUBSTITUTE("F/D^2", "F", ForceUnits), "D", DistanceUnits)</f>
        <v>lb/in^2</v>
      </c>
      <c r="E9" s="117" t="str">
        <f>[0]!DistanceUnits</f>
        <v>in</v>
      </c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9.9999999999999982</v>
      </c>
      <c r="N9" s="32">
        <f t="shared" ca="1" si="1"/>
        <v>0</v>
      </c>
      <c r="O9" s="32">
        <f t="shared" ca="1" si="1"/>
        <v>90</v>
      </c>
      <c r="P9" s="32">
        <f t="shared" ca="1" si="1"/>
        <v>7.275654541343787</v>
      </c>
      <c r="Q9" s="32">
        <f t="shared" ca="1" si="1"/>
        <v>-4.5474735088646412E-13</v>
      </c>
      <c r="R9" s="33">
        <f t="shared" ca="1" si="1"/>
        <v>-9.4822016785013921E-15</v>
      </c>
    </row>
    <row r="10" spans="1:18" ht="14.25" thickTop="1" thickBot="1">
      <c r="A10" s="110"/>
      <c r="B10" s="5">
        <v>18</v>
      </c>
      <c r="C10" s="6">
        <v>20</v>
      </c>
      <c r="D10" s="6">
        <f>-720/L^2</f>
        <v>-0.55555555555555558</v>
      </c>
      <c r="E10" s="7">
        <v>36</v>
      </c>
      <c r="F10" s="8">
        <v>36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9.9999999999999982</v>
      </c>
      <c r="N10" s="32">
        <f t="shared" ca="1" si="2"/>
        <v>-8.3273965803230343E-4</v>
      </c>
      <c r="O10" s="32">
        <f t="shared" ca="1" si="2"/>
        <v>90</v>
      </c>
      <c r="P10" s="32">
        <f t="shared" ca="1" si="2"/>
        <v>7.275654541343787</v>
      </c>
      <c r="Q10" s="32">
        <f t="shared" ca="1" si="2"/>
        <v>-2160</v>
      </c>
      <c r="R10" s="33">
        <f t="shared" ca="1" si="2"/>
        <v>-45.03941713049494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18.000000000000004</v>
      </c>
      <c r="N11" s="37">
        <f t="shared" ca="1" si="3"/>
        <v>36.000000000000014</v>
      </c>
      <c r="O11" s="37">
        <f t="shared" ca="1" si="3"/>
        <v>0</v>
      </c>
      <c r="P11" s="37">
        <f t="shared" ca="1" si="3"/>
        <v>0</v>
      </c>
      <c r="Q11" s="37">
        <f t="shared" ca="1" si="3"/>
        <v>0</v>
      </c>
      <c r="R11" s="38">
        <f t="shared" ca="1" si="3"/>
        <v>0</v>
      </c>
    </row>
    <row r="12" spans="1:18" ht="13.5" thickTop="1">
      <c r="A12" s="45"/>
      <c r="B12" s="121"/>
      <c r="C12" s="122"/>
      <c r="D12" s="123" t="s">
        <v>332</v>
      </c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 t="shared" ref="M12:M43" si="5">IF(AND(a&lt;=x,x&lt;=b),wm*x+wb,0)</f>
        <v>0</v>
      </c>
      <c r="N12" s="39">
        <f t="shared" ref="N12:N43" ca="1" si="6">IF(AND(0 &lt;= x, x &lt;= a), a_C2 + a_C1*x - (Ma*x^2)/(2*(E*Ix)) + (Ra*x^3)/(6*(E*Ix)), IF(AND(a &lt; x, x &lt;= b), a_C2p + a_C1p*x + (-(Ma*x^2)/2 + (Ra*x^3)/6 + wb*(-(a^2*x^2)/4 + (a*x^3)/6 -  x^4/24) + wm*(-(a^3*x^2)/6 + (a^2*x^3)/12 - x^5/120))/(E*Ix), a_C2pp + a_C1pp*x))</f>
        <v>0</v>
      </c>
      <c r="O12" s="39">
        <f t="shared" ref="O12:O43" ca="1" si="7">IF(AND(0&lt;=x,x&lt;=a),Ra,IF(AND(a&lt;x,x&lt;=b),Ra + (a - x)*wb + (a^2 - x^2)*wm/2, 0))</f>
        <v>90</v>
      </c>
      <c r="P12" s="39">
        <f t="shared" ref="P12:P43" ca="1" si="8">V/A_CS</f>
        <v>7.275654541343787</v>
      </c>
      <c r="Q12" s="39">
        <f t="shared" ref="Q12:Q43" ca="1" si="9">IF(AND(0&lt;=x,x&lt;=a),Ra*x - Ma,IF(AND(a&lt;x,x&lt;=b),-Ma + Ra*x - (wb*(x - a)^2)/2 + wm*(-a^3/3 + (a^2*x)/2 - x^3/6), 0))</f>
        <v>-2160</v>
      </c>
      <c r="R12" s="41">
        <f t="shared" ref="R12:R43" ca="1" si="10">Ybar*Q12/Ix</f>
        <v>-45.03941713049494</v>
      </c>
    </row>
    <row r="13" spans="1:18">
      <c r="A13" s="336" t="s">
        <v>348</v>
      </c>
      <c r="B13" s="121"/>
      <c r="C13" s="122"/>
      <c r="D13" s="122"/>
      <c r="E13" s="122"/>
      <c r="F13" s="121"/>
      <c r="G13" s="82">
        <f>A_CS*L</f>
        <v>445.32075864635317</v>
      </c>
      <c r="H13" s="45"/>
      <c r="I13" s="83">
        <f>G13*[0]!Density</f>
        <v>33.844377657122841</v>
      </c>
      <c r="J13" s="45"/>
      <c r="K13" s="29">
        <f t="shared" ref="K13:K44" si="11">K12+0.02</f>
        <v>0.02</v>
      </c>
      <c r="L13" s="39">
        <f t="shared" si="4"/>
        <v>0.72</v>
      </c>
      <c r="M13" s="40">
        <f t="shared" si="5"/>
        <v>0</v>
      </c>
      <c r="N13" s="39">
        <f t="shared" ca="1" si="6"/>
        <v>-6.2812362777293727E-7</v>
      </c>
      <c r="O13" s="39">
        <f t="shared" ca="1" si="7"/>
        <v>90</v>
      </c>
      <c r="P13" s="39">
        <f t="shared" ca="1" si="8"/>
        <v>7.275654541343787</v>
      </c>
      <c r="Q13" s="39">
        <f t="shared" ca="1" si="9"/>
        <v>-2095.1999999999998</v>
      </c>
      <c r="R13" s="41">
        <f t="shared" ca="1" si="10"/>
        <v>-43.68823461658009</v>
      </c>
    </row>
    <row r="14" spans="1:18" ht="13.5" thickBot="1">
      <c r="A14" s="94">
        <f>(b^2 - a^2)*wb/2 + (b^3 - a^3)*wm/3</f>
        <v>2160</v>
      </c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11"/>
        <v>0.04</v>
      </c>
      <c r="L14" s="39">
        <f t="shared" si="4"/>
        <v>1.44</v>
      </c>
      <c r="M14" s="40">
        <f t="shared" si="5"/>
        <v>0</v>
      </c>
      <c r="N14" s="39">
        <f t="shared" ca="1" si="6"/>
        <v>-2.4871157786564786E-6</v>
      </c>
      <c r="O14" s="39">
        <f t="shared" ca="1" si="7"/>
        <v>90</v>
      </c>
      <c r="P14" s="39">
        <f t="shared" ca="1" si="8"/>
        <v>7.275654541343787</v>
      </c>
      <c r="Q14" s="39">
        <f t="shared" ca="1" si="9"/>
        <v>-2030.4</v>
      </c>
      <c r="R14" s="41">
        <f t="shared" ca="1" si="10"/>
        <v>-42.337052102665247</v>
      </c>
    </row>
    <row r="15" spans="1:18" ht="14.25" thickTop="1" thickBot="1">
      <c r="A15" s="94" t="str">
        <f>IF(ActiveUnits="SI", SUBSTITUTE(SUBSTITUTE("F-D", "F", ForceUnits), "D", DistanceUnits), SUBSTITUTE(SUBSTITUTE("D-F", "F", ForceUnits), "D", DistanceUnits))</f>
        <v>in-lb</v>
      </c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11"/>
        <v>0.06</v>
      </c>
      <c r="L15" s="39">
        <f t="shared" si="4"/>
        <v>2.16</v>
      </c>
      <c r="M15" s="40">
        <f t="shared" si="5"/>
        <v>0</v>
      </c>
      <c r="N15" s="39">
        <f t="shared" ca="1" si="6"/>
        <v>-5.5389083539977207E-6</v>
      </c>
      <c r="O15" s="39">
        <f t="shared" ca="1" si="7"/>
        <v>90</v>
      </c>
      <c r="P15" s="39">
        <f t="shared" ca="1" si="8"/>
        <v>7.275654541343787</v>
      </c>
      <c r="Q15" s="39">
        <f t="shared" ca="1" si="9"/>
        <v>-1965.6</v>
      </c>
      <c r="R15" s="41">
        <f t="shared" ca="1" si="10"/>
        <v>-40.985869588750397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11"/>
        <v>0.08</v>
      </c>
      <c r="L16" s="39">
        <f t="shared" si="4"/>
        <v>2.88</v>
      </c>
      <c r="M16" s="40">
        <f t="shared" si="5"/>
        <v>0</v>
      </c>
      <c r="N16" s="39">
        <f t="shared" ca="1" si="6"/>
        <v>-9.7454332551437541E-6</v>
      </c>
      <c r="O16" s="39">
        <f t="shared" ca="1" si="7"/>
        <v>90</v>
      </c>
      <c r="P16" s="39">
        <f t="shared" ca="1" si="8"/>
        <v>7.275654541343787</v>
      </c>
      <c r="Q16" s="39">
        <f t="shared" ca="1" si="9"/>
        <v>-1900.8</v>
      </c>
      <c r="R16" s="41">
        <f t="shared" ca="1" si="10"/>
        <v>-39.634687074835547</v>
      </c>
    </row>
    <row r="17" spans="1:18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11"/>
        <v>0.1</v>
      </c>
      <c r="L17" s="39">
        <f t="shared" si="4"/>
        <v>3.6</v>
      </c>
      <c r="M17" s="40">
        <f t="shared" si="5"/>
        <v>0</v>
      </c>
      <c r="N17" s="39">
        <f t="shared" ca="1" si="6"/>
        <v>-1.5068622383441676E-5</v>
      </c>
      <c r="O17" s="39">
        <f t="shared" ca="1" si="7"/>
        <v>90</v>
      </c>
      <c r="P17" s="39">
        <f t="shared" ca="1" si="8"/>
        <v>7.275654541343787</v>
      </c>
      <c r="Q17" s="39">
        <f t="shared" ca="1" si="9"/>
        <v>-1836</v>
      </c>
      <c r="R17" s="41">
        <f t="shared" ca="1" si="10"/>
        <v>-38.283504560920697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11"/>
        <v>0.12000000000000001</v>
      </c>
      <c r="L18" s="39">
        <f t="shared" si="4"/>
        <v>4.32</v>
      </c>
      <c r="M18" s="40">
        <f t="shared" si="5"/>
        <v>0</v>
      </c>
      <c r="N18" s="39">
        <f t="shared" ca="1" si="6"/>
        <v>-2.1470407640238587E-5</v>
      </c>
      <c r="O18" s="39">
        <f t="shared" ca="1" si="7"/>
        <v>90</v>
      </c>
      <c r="P18" s="39">
        <f t="shared" ca="1" si="8"/>
        <v>7.275654541343787</v>
      </c>
      <c r="Q18" s="39">
        <f t="shared" ca="1" si="9"/>
        <v>-1771.2</v>
      </c>
      <c r="R18" s="41">
        <f t="shared" ca="1" si="10"/>
        <v>-36.932322047005854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1.8766423804372891E-3</v>
      </c>
      <c r="J19" s="45"/>
      <c r="K19" s="29">
        <f t="shared" si="11"/>
        <v>0.14000000000000001</v>
      </c>
      <c r="L19" s="39">
        <f t="shared" si="4"/>
        <v>5.0400000000000009</v>
      </c>
      <c r="M19" s="40">
        <f t="shared" si="5"/>
        <v>0</v>
      </c>
      <c r="N19" s="39">
        <f t="shared" ca="1" si="6"/>
        <v>-2.8912720926881574E-5</v>
      </c>
      <c r="O19" s="39">
        <f t="shared" ca="1" si="7"/>
        <v>90</v>
      </c>
      <c r="P19" s="39">
        <f t="shared" ca="1" si="8"/>
        <v>7.275654541343787</v>
      </c>
      <c r="Q19" s="39">
        <f t="shared" ca="1" si="9"/>
        <v>-1706.3999999999999</v>
      </c>
      <c r="R19" s="41">
        <f t="shared" ca="1" si="10"/>
        <v>-35.581139533090997</v>
      </c>
    </row>
    <row r="20" spans="1:18" ht="14.25" thickTop="1" thickBot="1">
      <c r="A20" s="45"/>
      <c r="B20" s="121"/>
      <c r="C20" s="121"/>
      <c r="D20" s="121"/>
      <c r="E20" s="121"/>
      <c r="F20" s="96"/>
      <c r="G20" s="45"/>
      <c r="H20" s="45"/>
      <c r="I20" s="45"/>
      <c r="J20" s="45"/>
      <c r="K20" s="29">
        <f t="shared" si="11"/>
        <v>0.16</v>
      </c>
      <c r="L20" s="39">
        <f t="shared" si="4"/>
        <v>5.76</v>
      </c>
      <c r="M20" s="40">
        <f t="shared" si="5"/>
        <v>0</v>
      </c>
      <c r="N20" s="39">
        <f t="shared" ca="1" si="6"/>
        <v>-3.735749414471772E-5</v>
      </c>
      <c r="O20" s="39">
        <f t="shared" ca="1" si="7"/>
        <v>90</v>
      </c>
      <c r="P20" s="39">
        <f t="shared" ca="1" si="8"/>
        <v>7.275654541343787</v>
      </c>
      <c r="Q20" s="39">
        <f t="shared" ca="1" si="9"/>
        <v>-1641.6</v>
      </c>
      <c r="R20" s="41">
        <f t="shared" ca="1" si="10"/>
        <v>-34.229957019176155</v>
      </c>
    </row>
    <row r="21" spans="1:18" ht="13.5" thickTop="1">
      <c r="A21" s="45"/>
      <c r="B21" s="121"/>
      <c r="C21" s="121"/>
      <c r="D21" s="121"/>
      <c r="E21" s="121"/>
      <c r="F21" s="97"/>
      <c r="G21" s="88" t="s">
        <v>320</v>
      </c>
      <c r="H21" s="45"/>
      <c r="I21" s="80" t="s">
        <v>318</v>
      </c>
      <c r="J21" s="45"/>
      <c r="K21" s="29">
        <f t="shared" si="11"/>
        <v>0.18</v>
      </c>
      <c r="L21" s="39">
        <f t="shared" si="4"/>
        <v>6.4799999999999995</v>
      </c>
      <c r="M21" s="40">
        <f t="shared" si="5"/>
        <v>0</v>
      </c>
      <c r="N21" s="39">
        <f t="shared" ca="1" si="6"/>
        <v>-4.6766659195094133E-5</v>
      </c>
      <c r="O21" s="39">
        <f t="shared" ca="1" si="7"/>
        <v>90</v>
      </c>
      <c r="P21" s="39">
        <f t="shared" ca="1" si="8"/>
        <v>7.275654541343787</v>
      </c>
      <c r="Q21" s="39">
        <f t="shared" ca="1" si="9"/>
        <v>-1576.8000000000002</v>
      </c>
      <c r="R21" s="41">
        <f t="shared" ca="1" si="10"/>
        <v>-32.878774505261312</v>
      </c>
    </row>
    <row r="22" spans="1:18">
      <c r="A22" s="110" t="s">
        <v>316</v>
      </c>
      <c r="B22" s="121"/>
      <c r="C22" s="121"/>
      <c r="D22" s="121"/>
      <c r="E22" s="121"/>
      <c r="F22" s="127"/>
      <c r="G22" s="90" t="s">
        <v>322</v>
      </c>
      <c r="H22" s="45"/>
      <c r="I22" s="82" t="s">
        <v>296</v>
      </c>
      <c r="J22" s="45"/>
      <c r="K22" s="29">
        <f t="shared" si="11"/>
        <v>0.19999999999999998</v>
      </c>
      <c r="L22" s="39">
        <f t="shared" si="4"/>
        <v>7.1999999999999993</v>
      </c>
      <c r="M22" s="40">
        <f t="shared" si="5"/>
        <v>0</v>
      </c>
      <c r="N22" s="39">
        <f t="shared" ca="1" si="6"/>
        <v>-5.7102147979357924E-5</v>
      </c>
      <c r="O22" s="39">
        <f t="shared" ca="1" si="7"/>
        <v>90</v>
      </c>
      <c r="P22" s="39">
        <f t="shared" ca="1" si="8"/>
        <v>7.275654541343787</v>
      </c>
      <c r="Q22" s="39">
        <f t="shared" ca="1" si="9"/>
        <v>-1512</v>
      </c>
      <c r="R22" s="41">
        <f t="shared" ca="1" si="10"/>
        <v>-31.527591991346458</v>
      </c>
    </row>
    <row r="23" spans="1:18">
      <c r="A23" s="94">
        <f ca="1">IF(IsValidUser, (b - a)*wb + (b^2 - a^2)*wm/2,"Time To Pay")</f>
        <v>90</v>
      </c>
      <c r="B23" s="121"/>
      <c r="C23" s="121"/>
      <c r="D23" s="128" t="s">
        <v>319</v>
      </c>
      <c r="E23" s="121"/>
      <c r="F23" s="121"/>
      <c r="G23" s="82">
        <f ca="1">DEGREES(a_C1pp)</f>
        <v>-1.7355725734874423E-3</v>
      </c>
      <c r="H23" s="45"/>
      <c r="I23" s="86" t="s">
        <v>303</v>
      </c>
      <c r="J23" s="45"/>
      <c r="K23" s="29">
        <f t="shared" si="11"/>
        <v>0.21999999999999997</v>
      </c>
      <c r="L23" s="39">
        <f t="shared" si="4"/>
        <v>7.919999999999999</v>
      </c>
      <c r="M23" s="40">
        <f t="shared" si="5"/>
        <v>0</v>
      </c>
      <c r="N23" s="39">
        <f t="shared" ca="1" si="6"/>
        <v>-6.8325892398856167E-5</v>
      </c>
      <c r="O23" s="39">
        <f t="shared" ca="1" si="7"/>
        <v>90</v>
      </c>
      <c r="P23" s="39">
        <f t="shared" ca="1" si="8"/>
        <v>7.275654541343787</v>
      </c>
      <c r="Q23" s="39">
        <f t="shared" ca="1" si="9"/>
        <v>-1447.2</v>
      </c>
      <c r="R23" s="41">
        <f t="shared" ca="1" si="10"/>
        <v>-30.176409477431612</v>
      </c>
    </row>
    <row r="24" spans="1:18" ht="13.5" thickBot="1">
      <c r="A24" s="94" t="str">
        <f>ForceUnits</f>
        <v>lb</v>
      </c>
      <c r="B24" s="121"/>
      <c r="C24" s="121"/>
      <c r="D24" s="121"/>
      <c r="E24" s="121"/>
      <c r="F24" s="121"/>
      <c r="G24" s="84" t="s">
        <v>323</v>
      </c>
      <c r="H24" s="45"/>
      <c r="I24" s="85">
        <f ca="1">IF(ABS(P10)/[0]!Strength &lt; 1, ABS(P10)/[0]!Strength, "FAILED.")</f>
        <v>3.0315227255599112E-4</v>
      </c>
      <c r="J24" s="45"/>
      <c r="K24" s="29">
        <f t="shared" si="11"/>
        <v>0.23999999999999996</v>
      </c>
      <c r="L24" s="39">
        <f t="shared" si="4"/>
        <v>8.6399999999999988</v>
      </c>
      <c r="M24" s="40">
        <f t="shared" si="5"/>
        <v>0</v>
      </c>
      <c r="N24" s="39">
        <f t="shared" ca="1" si="6"/>
        <v>-8.0399824354935944E-5</v>
      </c>
      <c r="O24" s="39">
        <f t="shared" ca="1" si="7"/>
        <v>90</v>
      </c>
      <c r="P24" s="39">
        <f t="shared" ca="1" si="8"/>
        <v>7.275654541343787</v>
      </c>
      <c r="Q24" s="39">
        <f t="shared" ca="1" si="9"/>
        <v>-1382.4</v>
      </c>
      <c r="R24" s="41">
        <f t="shared" ca="1" si="10"/>
        <v>-28.825226963516762</v>
      </c>
    </row>
    <row r="25" spans="1:18" ht="14.25" thickTop="1" thickBot="1">
      <c r="A25" s="45"/>
      <c r="B25" s="121"/>
      <c r="C25" s="121"/>
      <c r="D25" s="121"/>
      <c r="E25" s="121"/>
      <c r="F25" s="121"/>
      <c r="G25" s="45"/>
      <c r="H25" s="45"/>
      <c r="I25" s="45"/>
      <c r="J25" s="87"/>
      <c r="K25" s="29">
        <f t="shared" si="11"/>
        <v>0.25999999999999995</v>
      </c>
      <c r="L25" s="39">
        <f t="shared" si="4"/>
        <v>9.3599999999999977</v>
      </c>
      <c r="M25" s="40">
        <f t="shared" si="5"/>
        <v>0</v>
      </c>
      <c r="N25" s="39">
        <f t="shared" ca="1" si="6"/>
        <v>-9.3285875748944376E-5</v>
      </c>
      <c r="O25" s="39">
        <f t="shared" ca="1" si="7"/>
        <v>90</v>
      </c>
      <c r="P25" s="39">
        <f t="shared" ca="1" si="8"/>
        <v>7.275654541343787</v>
      </c>
      <c r="Q25" s="39">
        <f t="shared" ca="1" si="9"/>
        <v>-1317.6000000000004</v>
      </c>
      <c r="R25" s="41">
        <f t="shared" ca="1" si="10"/>
        <v>-27.474044449601919</v>
      </c>
    </row>
    <row r="26" spans="1:18" ht="13.5" thickTop="1">
      <c r="A26" s="45"/>
      <c r="B26" s="121"/>
      <c r="C26" s="121"/>
      <c r="D26" s="121"/>
      <c r="E26" s="121"/>
      <c r="F26" s="121"/>
      <c r="G26" s="45"/>
      <c r="H26" s="45"/>
      <c r="I26" s="89" t="s">
        <v>321</v>
      </c>
      <c r="J26" s="87"/>
      <c r="K26" s="29">
        <f t="shared" si="11"/>
        <v>0.27999999999999997</v>
      </c>
      <c r="L26" s="39">
        <f t="shared" si="4"/>
        <v>10.079999999999998</v>
      </c>
      <c r="M26" s="40">
        <f t="shared" si="5"/>
        <v>0</v>
      </c>
      <c r="N26" s="39">
        <f t="shared" ca="1" si="6"/>
        <v>-1.0694597848222855E-4</v>
      </c>
      <c r="O26" s="39">
        <f t="shared" ca="1" si="7"/>
        <v>90</v>
      </c>
      <c r="P26" s="39">
        <f t="shared" ca="1" si="8"/>
        <v>7.275654541343787</v>
      </c>
      <c r="Q26" s="39">
        <f t="shared" ca="1" si="9"/>
        <v>-1252.8000000000002</v>
      </c>
      <c r="R26" s="41">
        <f t="shared" ca="1" si="10"/>
        <v>-26.122861935687069</v>
      </c>
    </row>
    <row r="27" spans="1:18">
      <c r="A27" s="45"/>
      <c r="B27" s="121"/>
      <c r="C27" s="121"/>
      <c r="D27" s="121"/>
      <c r="E27" s="121"/>
      <c r="F27" s="121"/>
      <c r="G27" s="45"/>
      <c r="H27" s="45"/>
      <c r="I27" s="91" t="s">
        <v>295</v>
      </c>
      <c r="J27" s="87"/>
      <c r="K27" s="29">
        <f t="shared" si="11"/>
        <v>0.3</v>
      </c>
      <c r="L27" s="39">
        <f t="shared" si="4"/>
        <v>10.799999999999999</v>
      </c>
      <c r="M27" s="40">
        <f t="shared" si="5"/>
        <v>0</v>
      </c>
      <c r="N27" s="39">
        <f t="shared" ca="1" si="6"/>
        <v>-1.2134206445613558E-4</v>
      </c>
      <c r="O27" s="39">
        <f t="shared" ca="1" si="7"/>
        <v>90</v>
      </c>
      <c r="P27" s="39">
        <f t="shared" ca="1" si="8"/>
        <v>7.275654541343787</v>
      </c>
      <c r="Q27" s="39">
        <f t="shared" ca="1" si="9"/>
        <v>-1188</v>
      </c>
      <c r="R27" s="41">
        <f t="shared" ca="1" si="10"/>
        <v>-24.771679421772216</v>
      </c>
    </row>
    <row r="28" spans="1:18">
      <c r="A28" s="45"/>
      <c r="B28" s="121"/>
      <c r="C28" s="121"/>
      <c r="D28" s="121"/>
      <c r="E28" s="121"/>
      <c r="F28" s="121"/>
      <c r="G28" s="45"/>
      <c r="H28" s="45"/>
      <c r="I28" s="91">
        <f ca="1">N10</f>
        <v>-8.3273965803230343E-4</v>
      </c>
      <c r="J28" s="87"/>
      <c r="K28" s="29">
        <f t="shared" si="11"/>
        <v>0.32</v>
      </c>
      <c r="L28" s="39">
        <f t="shared" si="4"/>
        <v>11.52</v>
      </c>
      <c r="M28" s="40">
        <f t="shared" si="5"/>
        <v>0</v>
      </c>
      <c r="N28" s="39">
        <f t="shared" ca="1" si="6"/>
        <v>-1.3643606557201256E-4</v>
      </c>
      <c r="O28" s="39">
        <f t="shared" ca="1" si="7"/>
        <v>90</v>
      </c>
      <c r="P28" s="39">
        <f t="shared" ca="1" si="8"/>
        <v>7.275654541343787</v>
      </c>
      <c r="Q28" s="39">
        <f t="shared" ca="1" si="9"/>
        <v>-1123.2</v>
      </c>
      <c r="R28" s="41">
        <f t="shared" ca="1" si="10"/>
        <v>-23.42049690785737</v>
      </c>
    </row>
    <row r="29" spans="1:18" ht="13.5" thickBot="1">
      <c r="A29" s="45"/>
      <c r="B29" s="121"/>
      <c r="C29" s="121"/>
      <c r="D29" s="121"/>
      <c r="E29" s="121"/>
      <c r="F29" s="121"/>
      <c r="G29" s="45"/>
      <c r="H29" s="45"/>
      <c r="I29" s="92" t="str">
        <f>DistanceUnits</f>
        <v>in</v>
      </c>
      <c r="J29" s="87"/>
      <c r="K29" s="29">
        <f t="shared" si="11"/>
        <v>0.34</v>
      </c>
      <c r="L29" s="39">
        <f t="shared" si="4"/>
        <v>12.24</v>
      </c>
      <c r="M29" s="40">
        <f t="shared" si="5"/>
        <v>0</v>
      </c>
      <c r="N29" s="39">
        <f t="shared" ca="1" si="6"/>
        <v>-1.5218991373120653E-4</v>
      </c>
      <c r="O29" s="39">
        <f t="shared" ca="1" si="7"/>
        <v>90</v>
      </c>
      <c r="P29" s="39">
        <f t="shared" ca="1" si="8"/>
        <v>7.275654541343787</v>
      </c>
      <c r="Q29" s="39">
        <f t="shared" ca="1" si="9"/>
        <v>-1058.4000000000001</v>
      </c>
      <c r="R29" s="41">
        <f t="shared" ca="1" si="10"/>
        <v>-22.069314393942523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11"/>
        <v>0.36000000000000004</v>
      </c>
      <c r="L30" s="39">
        <f t="shared" si="4"/>
        <v>12.96</v>
      </c>
      <c r="M30" s="40">
        <f t="shared" si="5"/>
        <v>0</v>
      </c>
      <c r="N30" s="39">
        <f t="shared" ca="1" si="6"/>
        <v>-1.6856554083506466E-4</v>
      </c>
      <c r="O30" s="39">
        <f t="shared" ca="1" si="7"/>
        <v>90</v>
      </c>
      <c r="P30" s="39">
        <f t="shared" ca="1" si="8"/>
        <v>7.275654541343787</v>
      </c>
      <c r="Q30" s="39">
        <f t="shared" ca="1" si="9"/>
        <v>-993.59999999999991</v>
      </c>
      <c r="R30" s="41">
        <f t="shared" ca="1" si="10"/>
        <v>-20.71813188002767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11"/>
        <v>0.38000000000000006</v>
      </c>
      <c r="L31" s="39">
        <f t="shared" si="4"/>
        <v>13.680000000000001</v>
      </c>
      <c r="M31" s="40">
        <f t="shared" si="5"/>
        <v>0</v>
      </c>
      <c r="N31" s="39">
        <f t="shared" ca="1" si="6"/>
        <v>-1.8552487878493394E-4</v>
      </c>
      <c r="O31" s="39">
        <f t="shared" ca="1" si="7"/>
        <v>90</v>
      </c>
      <c r="P31" s="39">
        <f t="shared" ca="1" si="8"/>
        <v>7.275654541343787</v>
      </c>
      <c r="Q31" s="39">
        <f t="shared" ca="1" si="9"/>
        <v>-928.8</v>
      </c>
      <c r="R31" s="41">
        <f t="shared" ca="1" si="10"/>
        <v>-19.366949366112824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11"/>
        <v>0.40000000000000008</v>
      </c>
      <c r="L32" s="39">
        <f t="shared" si="4"/>
        <v>14.400000000000002</v>
      </c>
      <c r="M32" s="40">
        <f t="shared" si="5"/>
        <v>0</v>
      </c>
      <c r="N32" s="39">
        <f t="shared" ca="1" si="6"/>
        <v>-2.0302985948216163E-4</v>
      </c>
      <c r="O32" s="39">
        <f t="shared" ca="1" si="7"/>
        <v>90</v>
      </c>
      <c r="P32" s="39">
        <f t="shared" ca="1" si="8"/>
        <v>7.275654541343787</v>
      </c>
      <c r="Q32" s="39">
        <f t="shared" ca="1" si="9"/>
        <v>-863.99999999999977</v>
      </c>
      <c r="R32" s="41">
        <f t="shared" ca="1" si="10"/>
        <v>-18.01576685219797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90</v>
      </c>
      <c r="J33" s="87"/>
      <c r="K33" s="29">
        <f t="shared" si="11"/>
        <v>0.4200000000000001</v>
      </c>
      <c r="L33" s="39">
        <f t="shared" si="4"/>
        <v>15.120000000000003</v>
      </c>
      <c r="M33" s="40">
        <f t="shared" si="5"/>
        <v>0</v>
      </c>
      <c r="N33" s="39">
        <f t="shared" ca="1" si="6"/>
        <v>-2.2104241482809463E-4</v>
      </c>
      <c r="O33" s="39">
        <f t="shared" ca="1" si="7"/>
        <v>90</v>
      </c>
      <c r="P33" s="39">
        <f t="shared" ca="1" si="8"/>
        <v>7.275654541343787</v>
      </c>
      <c r="Q33" s="39">
        <f t="shared" ca="1" si="9"/>
        <v>-799.19999999999982</v>
      </c>
      <c r="R33" s="41">
        <f t="shared" ca="1" si="10"/>
        <v>-16.664584338283124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11"/>
        <v>0.44000000000000011</v>
      </c>
      <c r="L34" s="39">
        <f t="shared" si="4"/>
        <v>15.840000000000003</v>
      </c>
      <c r="M34" s="40">
        <f t="shared" si="5"/>
        <v>0</v>
      </c>
      <c r="N34" s="39">
        <f t="shared" ca="1" si="6"/>
        <v>-2.3952447672408015E-4</v>
      </c>
      <c r="O34" s="39">
        <f t="shared" ca="1" si="7"/>
        <v>90</v>
      </c>
      <c r="P34" s="39">
        <f t="shared" ca="1" si="8"/>
        <v>7.275654541343787</v>
      </c>
      <c r="Q34" s="39">
        <f t="shared" ca="1" si="9"/>
        <v>-734.39999999999964</v>
      </c>
      <c r="R34" s="41">
        <f t="shared" ca="1" si="10"/>
        <v>-15.313401824368272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11"/>
        <v>0.46000000000000013</v>
      </c>
      <c r="L35" s="39">
        <f t="shared" si="4"/>
        <v>16.560000000000006</v>
      </c>
      <c r="M35" s="40">
        <f t="shared" si="5"/>
        <v>0</v>
      </c>
      <c r="N35" s="39">
        <f t="shared" ca="1" si="6"/>
        <v>-2.5843797707146538E-4</v>
      </c>
      <c r="O35" s="39">
        <f t="shared" ca="1" si="7"/>
        <v>90</v>
      </c>
      <c r="P35" s="39">
        <f t="shared" ca="1" si="8"/>
        <v>7.275654541343787</v>
      </c>
      <c r="Q35" s="39">
        <f t="shared" ca="1" si="9"/>
        <v>-669.59999999999945</v>
      </c>
      <c r="R35" s="41">
        <f t="shared" ca="1" si="10"/>
        <v>-13.96221931045342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11"/>
        <v>0.48000000000000015</v>
      </c>
      <c r="L36" s="39">
        <f t="shared" si="4"/>
        <v>17.280000000000005</v>
      </c>
      <c r="M36" s="40">
        <f t="shared" si="5"/>
        <v>0</v>
      </c>
      <c r="N36" s="39">
        <f t="shared" ca="1" si="6"/>
        <v>-2.7774484777159713E-4</v>
      </c>
      <c r="O36" s="39">
        <f t="shared" ca="1" si="7"/>
        <v>90</v>
      </c>
      <c r="P36" s="39">
        <f t="shared" ca="1" si="8"/>
        <v>7.275654541343787</v>
      </c>
      <c r="Q36" s="39">
        <f t="shared" ca="1" si="9"/>
        <v>-604.7999999999995</v>
      </c>
      <c r="R36" s="41">
        <f t="shared" ca="1" si="10"/>
        <v>-12.611036796538572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11"/>
        <v>0.50000000000000011</v>
      </c>
      <c r="L37" s="39">
        <f t="shared" si="4"/>
        <v>18.000000000000004</v>
      </c>
      <c r="M37" s="40">
        <f t="shared" si="5"/>
        <v>9.9999999999999982</v>
      </c>
      <c r="N37" s="39">
        <f t="shared" ca="1" si="6"/>
        <v>-2.9740702072582261E-4</v>
      </c>
      <c r="O37" s="39">
        <f t="shared" ca="1" si="7"/>
        <v>90</v>
      </c>
      <c r="P37" s="39">
        <f t="shared" ca="1" si="8"/>
        <v>7.275654541343787</v>
      </c>
      <c r="Q37" s="39">
        <f t="shared" ca="1" si="9"/>
        <v>-539.99999999999977</v>
      </c>
      <c r="R37" s="41">
        <f t="shared" ca="1" si="10"/>
        <v>-11.25985428262373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0</v>
      </c>
      <c r="J38" s="87"/>
      <c r="K38" s="29">
        <f t="shared" si="11"/>
        <v>0.52000000000000013</v>
      </c>
      <c r="L38" s="39">
        <f t="shared" si="4"/>
        <v>18.720000000000006</v>
      </c>
      <c r="M38" s="40">
        <f t="shared" si="5"/>
        <v>9.5999999999999961</v>
      </c>
      <c r="N38" s="39">
        <f t="shared" ca="1" si="6"/>
        <v>-3.1738655371400213E-4</v>
      </c>
      <c r="O38" s="39">
        <f t="shared" ca="1" si="7"/>
        <v>82.943999999999946</v>
      </c>
      <c r="P38" s="39">
        <f t="shared" ca="1" si="8"/>
        <v>6.7052432253024294</v>
      </c>
      <c r="Q38" s="39">
        <f t="shared" ca="1" si="9"/>
        <v>-477.75743999999929</v>
      </c>
      <c r="R38" s="41">
        <f t="shared" ca="1" si="10"/>
        <v>-9.9619984385913778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11"/>
        <v>0.54000000000000015</v>
      </c>
      <c r="L39" s="39">
        <f t="shared" si="4"/>
        <v>19.440000000000005</v>
      </c>
      <c r="M39" s="40">
        <f t="shared" si="5"/>
        <v>9.1999999999999975</v>
      </c>
      <c r="N39" s="39">
        <f t="shared" ca="1" si="6"/>
        <v>-3.3764699881576093E-4</v>
      </c>
      <c r="O39" s="39">
        <f t="shared" ca="1" si="7"/>
        <v>76.175999999999959</v>
      </c>
      <c r="P39" s="39">
        <f t="shared" ca="1" si="8"/>
        <v>6.1581140037933775</v>
      </c>
      <c r="Q39" s="39">
        <f t="shared" ca="1" si="9"/>
        <v>-420.49151999999958</v>
      </c>
      <c r="R39" s="41">
        <f t="shared" ca="1" si="10"/>
        <v>-8.7679134116277027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11"/>
        <v>0.56000000000000016</v>
      </c>
      <c r="L40" s="39">
        <f t="shared" si="4"/>
        <v>20.160000000000007</v>
      </c>
      <c r="M40" s="40">
        <f t="shared" si="5"/>
        <v>8.7999999999999954</v>
      </c>
      <c r="N40" s="39">
        <f t="shared" ca="1" si="6"/>
        <v>-3.5815470383189008E-4</v>
      </c>
      <c r="O40" s="39">
        <f t="shared" ca="1" si="7"/>
        <v>69.695999999999941</v>
      </c>
      <c r="P40" s="39">
        <f t="shared" ca="1" si="8"/>
        <v>5.634266876816624</v>
      </c>
      <c r="Q40" s="39">
        <f t="shared" ca="1" si="9"/>
        <v>-367.99487999999934</v>
      </c>
      <c r="R40" s="41">
        <f t="shared" ca="1" si="10"/>
        <v>-7.6732754176881484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11"/>
        <v>0.58000000000000018</v>
      </c>
      <c r="L41" s="39">
        <f t="shared" si="4"/>
        <v>20.880000000000006</v>
      </c>
      <c r="M41" s="40">
        <f t="shared" si="5"/>
        <v>8.3999999999999968</v>
      </c>
      <c r="N41" s="39">
        <f t="shared" ca="1" si="6"/>
        <v>-3.7887881837524135E-4</v>
      </c>
      <c r="O41" s="39">
        <f t="shared" ca="1" si="7"/>
        <v>63.503999999999948</v>
      </c>
      <c r="P41" s="39">
        <f t="shared" ca="1" si="8"/>
        <v>5.1337018443721716</v>
      </c>
      <c r="Q41" s="39">
        <f t="shared" ca="1" si="9"/>
        <v>-320.06015999999966</v>
      </c>
      <c r="R41" s="41">
        <f t="shared" ca="1" si="10"/>
        <v>-6.6737606727282115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11"/>
        <v>0.6000000000000002</v>
      </c>
      <c r="L42" s="39">
        <f t="shared" si="4"/>
        <v>21.600000000000009</v>
      </c>
      <c r="M42" s="40">
        <f t="shared" si="5"/>
        <v>7.9999999999999947</v>
      </c>
      <c r="N42" s="39">
        <f t="shared" ca="1" si="6"/>
        <v>-3.9979117205281176E-4</v>
      </c>
      <c r="O42" s="39">
        <f t="shared" ca="1" si="7"/>
        <v>57.599999999999923</v>
      </c>
      <c r="P42" s="39">
        <f t="shared" ca="1" si="8"/>
        <v>4.6564189064600177</v>
      </c>
      <c r="Q42" s="39">
        <f t="shared" ca="1" si="9"/>
        <v>-276.47999999999956</v>
      </c>
      <c r="R42" s="41">
        <f t="shared" ca="1" si="10"/>
        <v>-5.7650453927033434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-4.5474735088646412E-13</v>
      </c>
      <c r="J43" s="87"/>
      <c r="K43" s="29">
        <f t="shared" si="11"/>
        <v>0.62000000000000022</v>
      </c>
      <c r="L43" s="39">
        <f t="shared" si="4"/>
        <v>22.320000000000007</v>
      </c>
      <c r="M43" s="40">
        <f t="shared" si="5"/>
        <v>7.5999999999999961</v>
      </c>
      <c r="N43" s="39">
        <f t="shared" ca="1" si="6"/>
        <v>-4.2086615264782661E-4</v>
      </c>
      <c r="O43" s="39">
        <f t="shared" ca="1" si="7"/>
        <v>51.983999999999945</v>
      </c>
      <c r="P43" s="39">
        <f t="shared" ca="1" si="8"/>
        <v>4.2024180630801666</v>
      </c>
      <c r="Q43" s="39">
        <f t="shared" ca="1" si="9"/>
        <v>-237.04703999999964</v>
      </c>
      <c r="R43" s="41">
        <f t="shared" ca="1" si="10"/>
        <v>-4.942805793569029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11"/>
        <v>0.64000000000000024</v>
      </c>
      <c r="L44" s="39">
        <f t="shared" ref="L44:L62" si="12">L*K44</f>
        <v>23.04000000000001</v>
      </c>
      <c r="M44" s="40">
        <f t="shared" ref="M44:M62" si="13">IF(AND(a&lt;=x,x&lt;=b),wm*x+wb,0)</f>
        <v>7.199999999999994</v>
      </c>
      <c r="N44" s="39">
        <f t="shared" ref="N44:N62" ca="1" si="14">IF(AND(0 &lt;= x, x &lt;= a), a_C2 + a_C1*x - (Ma*x^2)/(2*(E*Ix)) + (Ra*x^3)/(6*(E*Ix)), IF(AND(a &lt; x, x &lt;= b), a_C2p + a_C1p*x + (-(Ma*x^2)/2 + (Ra*x^3)/6 + wb*(-(a^2*x^2)/4 + (a*x^3)/6 -  x^4/24) + wm*(-(a^3*x^2)/6 + (a^2*x^3)/12 - x^5/120))/(E*Ix), a_C2pp + a_C1pp*x))</f>
        <v>-4.4208058430182738E-4</v>
      </c>
      <c r="O44" s="39">
        <f t="shared" ref="O44:O62" ca="1" si="15">IF(AND(0&lt;=x,x&lt;=a),Ra,IF(AND(a&lt;x,x&lt;=b),Ra + (a - x)*wb + (a^2 - x^2)*wm/2, 0))</f>
        <v>46.655999999999928</v>
      </c>
      <c r="P44" s="39">
        <f t="shared" ref="P44:P62" ca="1" si="16">V/A_CS</f>
        <v>3.7716993142326132</v>
      </c>
      <c r="Q44" s="39">
        <f t="shared" ref="Q44:Q62" ca="1" si="17">IF(AND(0&lt;=x,x&lt;=a),Ra*x - Ma,IF(AND(a&lt;x,x&lt;=b),-Ma + Ra*x - (wb*(x - a)^2)/2 + wm*(-a^3/3 + (a^2*x)/2 - x^3/6), 0))</f>
        <v>-201.55391999999955</v>
      </c>
      <c r="R44" s="41">
        <f t="shared" ref="R44:R62" ca="1" si="18">Ybar*Q44/Ix</f>
        <v>-4.202718091280734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9">K44+0.02</f>
        <v>0.66000000000000025</v>
      </c>
      <c r="L45" s="39">
        <f t="shared" si="12"/>
        <v>23.760000000000009</v>
      </c>
      <c r="M45" s="40">
        <f t="shared" si="13"/>
        <v>6.7999999999999954</v>
      </c>
      <c r="N45" s="39">
        <f t="shared" ca="1" si="14"/>
        <v>-4.6341360569675195E-4</v>
      </c>
      <c r="O45" s="39">
        <f t="shared" ca="1" si="15"/>
        <v>41.615999999999957</v>
      </c>
      <c r="P45" s="39">
        <f t="shared" ca="1" si="16"/>
        <v>3.3642626599173635</v>
      </c>
      <c r="Q45" s="39">
        <f t="shared" ca="1" si="17"/>
        <v>-169.79327999999927</v>
      </c>
      <c r="R45" s="41">
        <f t="shared" ca="1" si="18"/>
        <v>-3.540458501793931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9"/>
        <v>0.68000000000000027</v>
      </c>
      <c r="L46" s="39">
        <f t="shared" si="12"/>
        <v>24.480000000000011</v>
      </c>
      <c r="M46" s="40">
        <f t="shared" si="13"/>
        <v>6.3999999999999932</v>
      </c>
      <c r="N46" s="39">
        <f t="shared" ca="1" si="14"/>
        <v>-4.8484654823702006E-4</v>
      </c>
      <c r="O46" s="39">
        <f t="shared" ca="1" si="15"/>
        <v>36.863999999999933</v>
      </c>
      <c r="P46" s="39">
        <f t="shared" ca="1" si="16"/>
        <v>2.9801081001344096</v>
      </c>
      <c r="Q46" s="39">
        <f t="shared" ca="1" si="17"/>
        <v>-141.55775999999909</v>
      </c>
      <c r="R46" s="41">
        <f t="shared" ca="1" si="18"/>
        <v>-2.9517032410640973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9"/>
        <v>0.70000000000000029</v>
      </c>
      <c r="L47" s="39">
        <f t="shared" si="12"/>
        <v>25.20000000000001</v>
      </c>
      <c r="M47" s="40">
        <f t="shared" si="13"/>
        <v>5.9999999999999947</v>
      </c>
      <c r="N47" s="39">
        <f t="shared" ca="1" si="14"/>
        <v>-5.0636281423161985E-4</v>
      </c>
      <c r="O47" s="39">
        <f t="shared" ca="1" si="15"/>
        <v>32.399999999999949</v>
      </c>
      <c r="P47" s="39">
        <f t="shared" ca="1" si="16"/>
        <v>2.6192356348837591</v>
      </c>
      <c r="Q47" s="39">
        <f t="shared" ca="1" si="17"/>
        <v>-116.63999999999953</v>
      </c>
      <c r="R47" s="41">
        <f t="shared" ca="1" si="18"/>
        <v>-2.4321285250467168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-2160</v>
      </c>
      <c r="J48" s="87"/>
      <c r="K48" s="29">
        <f t="shared" si="19"/>
        <v>0.72000000000000031</v>
      </c>
      <c r="L48" s="39">
        <f t="shared" si="12"/>
        <v>25.920000000000012</v>
      </c>
      <c r="M48" s="40">
        <f t="shared" si="13"/>
        <v>5.5999999999999925</v>
      </c>
      <c r="N48" s="39">
        <f t="shared" ca="1" si="14"/>
        <v>-5.2794775507618947E-4</v>
      </c>
      <c r="O48" s="39">
        <f t="shared" ca="1" si="15"/>
        <v>28.223999999999904</v>
      </c>
      <c r="P48" s="39">
        <f t="shared" ca="1" si="16"/>
        <v>2.2816452641654039</v>
      </c>
      <c r="Q48" s="39">
        <f t="shared" ca="1" si="17"/>
        <v>-94.832639999999572</v>
      </c>
      <c r="R48" s="41">
        <f t="shared" ca="1" si="18"/>
        <v>-1.9774105696972408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9"/>
        <v>0.74000000000000032</v>
      </c>
      <c r="L49" s="39">
        <f t="shared" si="12"/>
        <v>26.640000000000011</v>
      </c>
      <c r="M49" s="40">
        <f t="shared" si="13"/>
        <v>5.199999999999994</v>
      </c>
      <c r="N49" s="39">
        <f t="shared" ca="1" si="14"/>
        <v>-5.4958854943510261E-4</v>
      </c>
      <c r="O49" s="39">
        <f t="shared" ca="1" si="15"/>
        <v>24.335999999999942</v>
      </c>
      <c r="P49" s="39">
        <f t="shared" ca="1" si="16"/>
        <v>1.9673369879793552</v>
      </c>
      <c r="Q49" s="39">
        <f t="shared" ca="1" si="17"/>
        <v>-75.928319999999758</v>
      </c>
      <c r="R49" s="41">
        <f t="shared" ca="1" si="18"/>
        <v>-1.583225590971153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9"/>
        <v>0.76000000000000034</v>
      </c>
      <c r="L50" s="39">
        <f t="shared" si="12"/>
        <v>27.360000000000014</v>
      </c>
      <c r="M50" s="40">
        <f t="shared" si="13"/>
        <v>4.7999999999999918</v>
      </c>
      <c r="N50" s="39">
        <f t="shared" ca="1" si="14"/>
        <v>-5.712740814235531E-4</v>
      </c>
      <c r="O50" s="39">
        <f t="shared" ca="1" si="15"/>
        <v>20.735999999999933</v>
      </c>
      <c r="P50" s="39">
        <f t="shared" ca="1" si="16"/>
        <v>1.6763108063256031</v>
      </c>
      <c r="Q50" s="39">
        <f t="shared" ca="1" si="17"/>
        <v>-59.719679999999698</v>
      </c>
      <c r="R50" s="41">
        <f t="shared" ca="1" si="18"/>
        <v>-1.2452498048239178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9"/>
        <v>0.78000000000000036</v>
      </c>
      <c r="L51" s="39">
        <f t="shared" si="12"/>
        <v>28.080000000000013</v>
      </c>
      <c r="M51" s="40">
        <f t="shared" si="13"/>
        <v>4.3999999999999915</v>
      </c>
      <c r="N51" s="39">
        <f t="shared" ca="1" si="14"/>
        <v>-5.9299481878963734E-4</v>
      </c>
      <c r="O51" s="39">
        <f t="shared" ca="1" si="15"/>
        <v>17.42399999999995</v>
      </c>
      <c r="P51" s="39">
        <f t="shared" ca="1" si="16"/>
        <v>1.4085667192041531</v>
      </c>
      <c r="Q51" s="39">
        <f t="shared" ca="1" si="17"/>
        <v>-45.999359999999797</v>
      </c>
      <c r="R51" s="41">
        <f t="shared" ca="1" si="18"/>
        <v>-0.95915942721101599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9"/>
        <v>0.80000000000000038</v>
      </c>
      <c r="L52" s="39">
        <f t="shared" si="12"/>
        <v>28.800000000000015</v>
      </c>
      <c r="M52" s="40">
        <f t="shared" si="13"/>
        <v>3.9999999999999893</v>
      </c>
      <c r="N52" s="39">
        <f t="shared" ca="1" si="14"/>
        <v>-6.1474269109644151E-4</v>
      </c>
      <c r="O52" s="39">
        <f t="shared" ca="1" si="15"/>
        <v>14.399999999999949</v>
      </c>
      <c r="P52" s="39">
        <f t="shared" ca="1" si="16"/>
        <v>1.1641047266150018</v>
      </c>
      <c r="Q52" s="39">
        <f t="shared" ca="1" si="17"/>
        <v>-34.559999999999832</v>
      </c>
      <c r="R52" s="41">
        <f t="shared" ca="1" si="18"/>
        <v>-0.72063067408791548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9"/>
        <v>0.8200000000000004</v>
      </c>
      <c r="L53" s="39">
        <f t="shared" si="12"/>
        <v>29.520000000000014</v>
      </c>
      <c r="M53" s="40">
        <f t="shared" si="13"/>
        <v>3.5999999999999908</v>
      </c>
      <c r="N53" s="39">
        <f t="shared" ca="1" si="14"/>
        <v>-6.3651096790412367E-4</v>
      </c>
      <c r="O53" s="39">
        <f t="shared" ca="1" si="15"/>
        <v>11.663999999999959</v>
      </c>
      <c r="P53" s="39">
        <f t="shared" ca="1" si="16"/>
        <v>0.94292482855815141</v>
      </c>
      <c r="Q53" s="39">
        <f t="shared" ca="1" si="17"/>
        <v>-25.194240000000036</v>
      </c>
      <c r="R53" s="41">
        <f t="shared" ca="1" si="18"/>
        <v>-0.52533976141009375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9"/>
        <v>0.84000000000000041</v>
      </c>
      <c r="L54" s="39">
        <f t="shared" si="12"/>
        <v>30.240000000000016</v>
      </c>
      <c r="M54" s="40">
        <f t="shared" si="13"/>
        <v>3.1999999999999886</v>
      </c>
      <c r="N54" s="39">
        <f t="shared" ca="1" si="14"/>
        <v>-6.5829413695199848E-4</v>
      </c>
      <c r="O54" s="39">
        <f t="shared" ca="1" si="15"/>
        <v>9.2159999999999513</v>
      </c>
      <c r="P54" s="39">
        <f t="shared" ca="1" si="16"/>
        <v>0.74502702503359985</v>
      </c>
      <c r="Q54" s="39">
        <f t="shared" ca="1" si="17"/>
        <v>-17.694720000000189</v>
      </c>
      <c r="R54" s="41">
        <f t="shared" ca="1" si="18"/>
        <v>-0.36896290513301849</v>
      </c>
    </row>
    <row r="55" spans="1:18">
      <c r="A55" s="45"/>
      <c r="B55" s="45"/>
      <c r="C55" s="130"/>
      <c r="D55" s="130"/>
      <c r="E55" s="130"/>
      <c r="F55" s="130"/>
      <c r="G55" s="45"/>
      <c r="H55" s="45"/>
      <c r="I55" s="45"/>
      <c r="J55" s="87"/>
      <c r="K55" s="29">
        <f t="shared" si="19"/>
        <v>0.86000000000000043</v>
      </c>
      <c r="L55" s="39">
        <f t="shared" si="12"/>
        <v>30.960000000000015</v>
      </c>
      <c r="M55" s="40">
        <f t="shared" si="13"/>
        <v>2.7999999999999901</v>
      </c>
      <c r="N55" s="39">
        <f t="shared" ca="1" si="14"/>
        <v>-6.8008778234062328E-4</v>
      </c>
      <c r="O55" s="39">
        <f t="shared" ca="1" si="15"/>
        <v>7.0559999999999832</v>
      </c>
      <c r="P55" s="39">
        <f t="shared" ca="1" si="16"/>
        <v>0.57041131604135153</v>
      </c>
      <c r="Q55" s="39">
        <f t="shared" ca="1" si="17"/>
        <v>-11.854079999999612</v>
      </c>
      <c r="R55" s="41">
        <f t="shared" ca="1" si="18"/>
        <v>-0.24717632121214816</v>
      </c>
    </row>
    <row r="56" spans="1:18">
      <c r="A56" s="45"/>
      <c r="B56" s="45"/>
      <c r="C56" s="130"/>
      <c r="D56" s="130" t="s">
        <v>326</v>
      </c>
      <c r="E56" s="130">
        <v>0</v>
      </c>
      <c r="F56" s="130"/>
      <c r="G56" s="45"/>
      <c r="H56" s="45"/>
      <c r="I56" s="45"/>
      <c r="J56" s="87"/>
      <c r="K56" s="29">
        <f t="shared" si="19"/>
        <v>0.88000000000000045</v>
      </c>
      <c r="L56" s="39">
        <f t="shared" si="12"/>
        <v>31.680000000000017</v>
      </c>
      <c r="M56" s="40">
        <f t="shared" si="13"/>
        <v>2.3999999999999879</v>
      </c>
      <c r="N56" s="39">
        <f t="shared" ca="1" si="14"/>
        <v>-7.0188846271387927E-4</v>
      </c>
      <c r="O56" s="39">
        <f t="shared" ca="1" si="15"/>
        <v>5.1839999999999407</v>
      </c>
      <c r="P56" s="39">
        <f t="shared" ca="1" si="16"/>
        <v>0.41907770158139729</v>
      </c>
      <c r="Q56" s="39">
        <f t="shared" ca="1" si="17"/>
        <v>-7.4649600000000191</v>
      </c>
      <c r="R56" s="41">
        <f t="shared" ca="1" si="18"/>
        <v>-0.15565622560299092</v>
      </c>
    </row>
    <row r="57" spans="1:18">
      <c r="A57" s="45"/>
      <c r="B57" s="45"/>
      <c r="C57" s="130"/>
      <c r="D57" s="130" t="s">
        <v>327</v>
      </c>
      <c r="E57" s="130">
        <v>0</v>
      </c>
      <c r="F57" s="130"/>
      <c r="G57" s="45"/>
      <c r="H57" s="45"/>
      <c r="I57" s="45"/>
      <c r="J57" s="87"/>
      <c r="K57" s="29">
        <f t="shared" si="19"/>
        <v>0.90000000000000047</v>
      </c>
      <c r="L57" s="39">
        <f t="shared" si="12"/>
        <v>32.40000000000002</v>
      </c>
      <c r="M57" s="40">
        <f t="shared" si="13"/>
        <v>1.9999999999999893</v>
      </c>
      <c r="N57" s="39">
        <f t="shared" ca="1" si="14"/>
        <v>-7.2369358944105659E-4</v>
      </c>
      <c r="O57" s="39">
        <f t="shared" ca="1" si="15"/>
        <v>3.5999999999999943</v>
      </c>
      <c r="P57" s="39">
        <f t="shared" ca="1" si="16"/>
        <v>0.29102618165375099</v>
      </c>
      <c r="Q57" s="39">
        <f t="shared" ca="1" si="17"/>
        <v>-4.3199999999992542</v>
      </c>
      <c r="R57" s="41">
        <f t="shared" ca="1" si="18"/>
        <v>-9.0078834260974336E-2</v>
      </c>
    </row>
    <row r="58" spans="1:18">
      <c r="A58" s="45"/>
      <c r="B58" s="45"/>
      <c r="C58" s="130"/>
      <c r="D58" s="130" t="s">
        <v>328</v>
      </c>
      <c r="E58" s="130">
        <f>((a^3*wb)/6 + (a^4*wm)/8)/(E*Ix)</f>
        <v>1.3768843552121415E-5</v>
      </c>
      <c r="F58" s="130"/>
      <c r="G58" s="45"/>
      <c r="H58" s="45"/>
      <c r="I58" s="45"/>
      <c r="J58" s="87"/>
      <c r="K58" s="29">
        <f t="shared" si="19"/>
        <v>0.92000000000000048</v>
      </c>
      <c r="L58" s="39">
        <f t="shared" si="12"/>
        <v>33.120000000000019</v>
      </c>
      <c r="M58" s="40">
        <f t="shared" si="13"/>
        <v>1.5999999999999872</v>
      </c>
      <c r="N58" s="39">
        <f t="shared" ca="1" si="14"/>
        <v>-7.4550130479894301E-4</v>
      </c>
      <c r="O58" s="39">
        <f t="shared" ca="1" si="15"/>
        <v>2.3039999999999736</v>
      </c>
      <c r="P58" s="39">
        <f t="shared" ca="1" si="16"/>
        <v>0.1862567562583988</v>
      </c>
      <c r="Q58" s="39">
        <f t="shared" ca="1" si="17"/>
        <v>-2.2118399999999383</v>
      </c>
      <c r="R58" s="41">
        <f t="shared" ca="1" si="18"/>
        <v>-4.6120363141625535E-2</v>
      </c>
    </row>
    <row r="59" spans="1:18" ht="15">
      <c r="A59" s="45"/>
      <c r="B59" s="45"/>
      <c r="C59" s="337"/>
      <c r="D59" s="130" t="s">
        <v>342</v>
      </c>
      <c r="E59" s="130">
        <f>(-(a^4*wb)/24 - (a^5*wm)/30)/(E*Ix)</f>
        <v>-5.9481404145164514E-5</v>
      </c>
      <c r="F59" s="130"/>
      <c r="G59" s="45"/>
      <c r="H59" s="45"/>
      <c r="I59" s="45"/>
      <c r="J59" s="87"/>
      <c r="K59" s="29">
        <f t="shared" si="19"/>
        <v>0.9400000000000005</v>
      </c>
      <c r="L59" s="39">
        <f t="shared" si="12"/>
        <v>33.840000000000018</v>
      </c>
      <c r="M59" s="40">
        <f t="shared" si="13"/>
        <v>1.1999999999999886</v>
      </c>
      <c r="N59" s="39">
        <f t="shared" ca="1" si="14"/>
        <v>-7.6731036015390171E-4</v>
      </c>
      <c r="O59" s="39">
        <f t="shared" ca="1" si="15"/>
        <v>1.2959999999999923</v>
      </c>
      <c r="P59" s="39">
        <f t="shared" ca="1" si="16"/>
        <v>0.1047694253953499</v>
      </c>
      <c r="Q59" s="39">
        <f t="shared" ca="1" si="17"/>
        <v>-0.93311999999923501</v>
      </c>
      <c r="R59" s="41">
        <f t="shared" ca="1" si="18"/>
        <v>-1.9457028200357863E-2</v>
      </c>
    </row>
    <row r="60" spans="1:18" ht="15">
      <c r="A60" s="45"/>
      <c r="B60" s="45"/>
      <c r="C60" s="337"/>
      <c r="D60" s="130" t="s">
        <v>343</v>
      </c>
      <c r="E60" s="130">
        <f ca="1">(-(b*Ma) + (b^2*Ra)/2 + ((a - b)^3*wb)/6 + ((a - b)^3*(3*a + b)*wm)/24)/(E*Ix)</f>
        <v>-3.0291455814667113E-5</v>
      </c>
      <c r="F60" s="130"/>
      <c r="G60" s="45"/>
      <c r="H60" s="45"/>
      <c r="I60" s="45"/>
      <c r="J60" s="87"/>
      <c r="K60" s="29">
        <f t="shared" si="19"/>
        <v>0.96000000000000052</v>
      </c>
      <c r="L60" s="39">
        <f t="shared" si="12"/>
        <v>34.560000000000016</v>
      </c>
      <c r="M60" s="40">
        <f t="shared" si="13"/>
        <v>0.79999999999999005</v>
      </c>
      <c r="N60" s="39">
        <f t="shared" ca="1" si="14"/>
        <v>-7.8911999414396021E-4</v>
      </c>
      <c r="O60" s="39">
        <f t="shared" ca="1" si="15"/>
        <v>0.57600000000002183</v>
      </c>
      <c r="P60" s="39">
        <f t="shared" ca="1" si="16"/>
        <v>4.6564189064601996E-2</v>
      </c>
      <c r="Q60" s="39">
        <f t="shared" ca="1" si="17"/>
        <v>-0.27647999999931017</v>
      </c>
      <c r="R60" s="41">
        <f t="shared" ca="1" si="18"/>
        <v>-5.765045392688968E-3</v>
      </c>
    </row>
    <row r="61" spans="1:18">
      <c r="A61" s="45"/>
      <c r="B61" s="45"/>
      <c r="C61" s="130"/>
      <c r="D61" s="130" t="s">
        <v>344</v>
      </c>
      <c r="E61" s="130">
        <f ca="1">((b^2*Ma)/2 - (b^3*Ra)/3 + ((-a + b)^3*(a + 3*b)*wb)/24 +  ((-a + b)^3*(a^2 + 3*a*b + b^2)*wm)/30)/(E*Ix)</f>
        <v>2.5775275129571291E-4</v>
      </c>
      <c r="F61" s="130"/>
      <c r="G61" s="45"/>
      <c r="H61" s="45"/>
      <c r="I61" s="45"/>
      <c r="J61" s="87"/>
      <c r="K61" s="29">
        <f t="shared" si="19"/>
        <v>0.98000000000000054</v>
      </c>
      <c r="L61" s="39">
        <f t="shared" si="12"/>
        <v>35.280000000000022</v>
      </c>
      <c r="M61" s="40">
        <f t="shared" si="13"/>
        <v>0.39999999999998792</v>
      </c>
      <c r="N61" s="39">
        <f t="shared" ca="1" si="14"/>
        <v>-8.1092981086089292E-4</v>
      </c>
      <c r="O61" s="39">
        <f t="shared" ca="1" si="15"/>
        <v>0.14399999999997704</v>
      </c>
      <c r="P61" s="39">
        <f t="shared" ca="1" si="16"/>
        <v>1.1641047266148202E-2</v>
      </c>
      <c r="Q61" s="39">
        <f t="shared" ca="1" si="17"/>
        <v>-3.4559999999373758E-2</v>
      </c>
      <c r="R61" s="41">
        <f t="shared" ca="1" si="18"/>
        <v>-7.2063067407486091E-4</v>
      </c>
    </row>
    <row r="62" spans="1:18" ht="13.5" thickBot="1">
      <c r="A62" s="45"/>
      <c r="B62" s="45"/>
      <c r="C62" s="338"/>
      <c r="D62" s="130"/>
      <c r="E62" s="130"/>
      <c r="F62" s="130"/>
      <c r="G62" s="45"/>
      <c r="H62" s="45"/>
      <c r="I62" s="45"/>
      <c r="J62" s="87"/>
      <c r="K62" s="34">
        <f t="shared" si="19"/>
        <v>1.0000000000000004</v>
      </c>
      <c r="L62" s="42">
        <f t="shared" si="12"/>
        <v>36.000000000000014</v>
      </c>
      <c r="M62" s="43">
        <f t="shared" si="13"/>
        <v>-7.1054273576010019E-15</v>
      </c>
      <c r="N62" s="42">
        <f t="shared" ca="1" si="14"/>
        <v>-8.3273965803230343E-4</v>
      </c>
      <c r="O62" s="42">
        <f t="shared" ca="1" si="15"/>
        <v>0</v>
      </c>
      <c r="P62" s="42">
        <f t="shared" ca="1" si="16"/>
        <v>0</v>
      </c>
      <c r="Q62" s="42">
        <f t="shared" ca="1" si="17"/>
        <v>-4.5474735088646412E-13</v>
      </c>
      <c r="R62" s="44">
        <f t="shared" ca="1" si="18"/>
        <v>-9.4822016785013921E-15</v>
      </c>
    </row>
    <row r="63" spans="1:18" ht="13.5" thickTop="1">
      <c r="J63" s="320"/>
    </row>
    <row r="64" spans="1:18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password="C4AC" sheet="1" objects="1" scenarios="1"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5" orientation="landscape" horizontalDpi="4294967292" verticalDpi="4294967292"/>
  <headerFooter alignWithMargins="0"/>
  <ignoredErrors>
    <ignoredError sqref="D10" unlockedFormula="1"/>
  </ignoredErrors>
  <drawing r:id="rId1"/>
  <legacyDrawing r:id="rId2"/>
  <oleObjects>
    <oleObject progId="MSPhotoEd.3" shapeId="17267" r:id="rId3"/>
    <oleObject progId="MSPhotoEd.3" shapeId="17268" r:id="rId4"/>
  </oleObjects>
</worksheet>
</file>

<file path=xl/worksheets/sheet14.xml><?xml version="1.0" encoding="utf-8"?>
<worksheet xmlns="http://schemas.openxmlformats.org/spreadsheetml/2006/main" xmlns:r="http://schemas.openxmlformats.org/officeDocument/2006/relationships">
  <sheetPr syncHorizontal="1" syncRef="A1" codeName="Sheet16">
    <pageSetUpPr fitToPage="1"/>
  </sheetPr>
  <dimension ref="A1:R96"/>
  <sheetViews>
    <sheetView showGridLines="0" defaultGridColor="0" colorId="8" workbookViewId="0">
      <selection activeCell="U20" sqref="U20"/>
    </sheetView>
  </sheetViews>
  <sheetFormatPr defaultColWidth="10.7109375" defaultRowHeight="12.75"/>
  <cols>
    <col min="1" max="1" width="9" style="304" customWidth="1"/>
    <col min="2" max="3" width="8.7109375" style="304" customWidth="1"/>
    <col min="4" max="4" width="14.140625" style="304" customWidth="1"/>
    <col min="5" max="5" width="8.140625" style="304" customWidth="1"/>
    <col min="6" max="6" width="12.5703125" style="304" customWidth="1"/>
    <col min="7" max="7" width="9" style="304" customWidth="1"/>
    <col min="8" max="8" width="7" style="304" customWidth="1"/>
    <col min="9" max="9" width="11.5703125" style="304" customWidth="1"/>
    <col min="10" max="10" width="1.85546875" style="304" customWidth="1"/>
    <col min="11" max="11" width="8" style="677" customWidth="1"/>
    <col min="12" max="12" width="8.28515625" style="677" customWidth="1"/>
    <col min="13" max="13" width="10.7109375" style="677"/>
    <col min="14" max="14" width="10.7109375" style="304"/>
    <col min="15" max="16" width="10.7109375" style="677"/>
    <col min="17" max="17" width="11.85546875" style="677" bestFit="1" customWidth="1"/>
    <col min="18" max="18" width="11.85546875" style="689" bestFit="1" customWidth="1"/>
    <col min="19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667"/>
      <c r="L1" s="667"/>
      <c r="M1" s="667"/>
      <c r="N1" s="45"/>
      <c r="O1" s="667"/>
      <c r="P1" s="667"/>
      <c r="Q1" s="667"/>
      <c r="R1" s="679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667"/>
      <c r="L2" s="690"/>
      <c r="M2" s="690"/>
      <c r="N2" s="98"/>
      <c r="O2" s="668"/>
      <c r="P2" s="678"/>
      <c r="Q2" s="678"/>
      <c r="R2" s="680"/>
    </row>
    <row r="3" spans="1:18" ht="13.5" thickBot="1">
      <c r="A3" s="98"/>
      <c r="B3" s="101"/>
      <c r="C3" s="102" t="s">
        <v>347</v>
      </c>
      <c r="D3" s="102"/>
      <c r="E3" s="103"/>
      <c r="F3" s="75"/>
      <c r="G3" s="75"/>
      <c r="H3" s="75"/>
      <c r="I3" s="75"/>
      <c r="J3" s="45"/>
      <c r="K3" s="667"/>
      <c r="L3" s="667"/>
      <c r="M3" s="667"/>
      <c r="N3" s="45"/>
      <c r="O3" s="667"/>
      <c r="P3" s="667"/>
      <c r="Q3" s="667"/>
      <c r="R3" s="679"/>
    </row>
    <row r="4" spans="1:18" ht="17.25" thickTop="1" thickBot="1">
      <c r="A4" s="98"/>
      <c r="B4" s="57"/>
      <c r="C4" s="104" t="s">
        <v>345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695"/>
      <c r="L4" s="691" t="s">
        <v>345</v>
      </c>
      <c r="M4" s="702"/>
      <c r="N4" s="45"/>
      <c r="O4" s="667"/>
      <c r="P4" s="667"/>
      <c r="Q4" s="667"/>
      <c r="R4" s="679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696" t="s">
        <v>293</v>
      </c>
      <c r="L5" s="669" t="s">
        <v>260</v>
      </c>
      <c r="M5" s="703" t="s">
        <v>332</v>
      </c>
      <c r="N5" s="54" t="s">
        <v>295</v>
      </c>
      <c r="O5" s="669" t="s">
        <v>296</v>
      </c>
      <c r="P5" s="669" t="s">
        <v>297</v>
      </c>
      <c r="Q5" s="669" t="s">
        <v>298</v>
      </c>
      <c r="R5" s="681" t="s">
        <v>298</v>
      </c>
    </row>
    <row r="6" spans="1:18" ht="17.25" thickTop="1" thickBot="1">
      <c r="A6" s="107"/>
      <c r="B6" s="329"/>
      <c r="C6" s="340" t="s">
        <v>375</v>
      </c>
      <c r="D6" s="10" t="s">
        <v>385</v>
      </c>
      <c r="E6" s="330"/>
      <c r="F6" s="67"/>
      <c r="G6" s="57"/>
      <c r="H6" s="58" t="s">
        <v>126</v>
      </c>
      <c r="I6" s="59"/>
      <c r="J6" s="45"/>
      <c r="K6" s="697" t="s">
        <v>129</v>
      </c>
      <c r="L6" s="670" t="s">
        <v>301</v>
      </c>
      <c r="M6" s="704"/>
      <c r="N6" s="63"/>
      <c r="O6" s="670" t="s">
        <v>71</v>
      </c>
      <c r="P6" s="670" t="s">
        <v>303</v>
      </c>
      <c r="Q6" s="670" t="s">
        <v>252</v>
      </c>
      <c r="R6" s="682" t="s">
        <v>303</v>
      </c>
    </row>
    <row r="7" spans="1:18" ht="14.25" thickTop="1" thickBot="1">
      <c r="A7" s="107"/>
      <c r="B7" s="331"/>
      <c r="C7" s="341" t="s">
        <v>376</v>
      </c>
      <c r="D7" s="10" t="s">
        <v>397</v>
      </c>
      <c r="E7" s="332"/>
      <c r="F7" s="333"/>
      <c r="G7" s="65"/>
      <c r="H7" s="66" t="s">
        <v>304</v>
      </c>
      <c r="I7" s="67"/>
      <c r="J7" s="45"/>
      <c r="K7" s="698" t="s">
        <v>69</v>
      </c>
      <c r="L7" s="671" t="str">
        <f>DistanceUnits</f>
        <v>in</v>
      </c>
      <c r="M7" s="705" t="str">
        <f>SUBSTITUTE(SUBSTITUTE("F/D", "F", ForceUnits), "D", DistanceUnits)</f>
        <v>lb/in</v>
      </c>
      <c r="N7" s="69" t="str">
        <f>DistanceUnits</f>
        <v>in</v>
      </c>
      <c r="O7" s="671" t="str">
        <f>ForceUnits</f>
        <v>lb</v>
      </c>
      <c r="P7" s="671" t="str">
        <f>SUBSTITUTE(SUBSTITUTE("F/D^2", "D", DistanceUnits), "F", ForceUnits)</f>
        <v>lb/in^2</v>
      </c>
      <c r="Q7" s="671" t="str">
        <f>SUBSTITUTE(SUBSTITUTE("F-D", "D", DistanceUnits), "F", ForceUnits)</f>
        <v>lb-in</v>
      </c>
      <c r="R7" s="683" t="str">
        <f>SUBSTITUTE(SUBSTITUTE("F/D^2", "D", DistanceUnits), "F", ForceUnits)</f>
        <v>lb/in^2</v>
      </c>
    </row>
    <row r="8" spans="1:18" ht="14.25" thickTop="1" thickBot="1">
      <c r="A8" s="110"/>
      <c r="B8" s="47"/>
      <c r="C8" s="334" t="s">
        <v>346</v>
      </c>
      <c r="D8" s="335">
        <f ca="1">IF(INDIRECT(SUBSTITUTE("'S'!L", "S", Sheet1)) =                       INDIRECT(SUBSTITUTE("'S'!L", "S", Sheet2)),                                                INDIRECT(SUBSTITUTE("'S'!L", "S", Sheet1)), "BAD LENGTH")</f>
        <v>960</v>
      </c>
      <c r="E8" s="106" t="str">
        <f>DistanceUnits</f>
        <v>in</v>
      </c>
      <c r="F8" s="49"/>
      <c r="G8" s="72"/>
      <c r="H8" s="73" t="str">
        <f>[0]!ActiveMaterial</f>
        <v>Fiberglass 7781 Bidirectional</v>
      </c>
      <c r="I8" s="74"/>
      <c r="J8" s="75"/>
      <c r="K8" s="699"/>
      <c r="L8" s="692" t="s">
        <v>309</v>
      </c>
      <c r="M8" s="706">
        <f t="shared" ref="M8:R8" ca="1" si="0">MIN(M12:M62)</f>
        <v>0</v>
      </c>
      <c r="N8" s="27">
        <f t="shared" ca="1" si="0"/>
        <v>-170.28391408722391</v>
      </c>
      <c r="O8" s="672">
        <f t="shared" ca="1" si="0"/>
        <v>0</v>
      </c>
      <c r="P8" s="672">
        <f t="shared" ca="1" si="0"/>
        <v>0</v>
      </c>
      <c r="Q8" s="672">
        <f t="shared" ca="1" si="0"/>
        <v>-593060</v>
      </c>
      <c r="R8" s="684">
        <f t="shared" ca="1" si="0"/>
        <v>-12366.239223801542</v>
      </c>
    </row>
    <row r="9" spans="1:18" ht="13.5" thickTop="1">
      <c r="A9" s="110"/>
      <c r="B9" s="121"/>
      <c r="C9" s="122"/>
      <c r="D9" s="123" t="str">
        <f>IF(AND(LEFT(Sheet1, 1) = "C", LEFT(Sheet2, 1) = "C"), "", "ERROR: Must use a Cantilevered Sheet")</f>
        <v/>
      </c>
      <c r="E9" s="122"/>
      <c r="F9" s="121"/>
      <c r="G9" s="76"/>
      <c r="H9" s="66" t="s">
        <v>310</v>
      </c>
      <c r="I9" s="52"/>
      <c r="J9" s="75"/>
      <c r="K9" s="700"/>
      <c r="L9" s="693" t="s">
        <v>311</v>
      </c>
      <c r="M9" s="707">
        <f t="shared" ref="M9:R9" ca="1" si="1">MAX(M12:M62)</f>
        <v>4.7</v>
      </c>
      <c r="N9" s="32">
        <f t="shared" ca="1" si="1"/>
        <v>0</v>
      </c>
      <c r="O9" s="673">
        <f t="shared" ca="1" si="1"/>
        <v>846</v>
      </c>
      <c r="P9" s="673">
        <f t="shared" ca="1" si="1"/>
        <v>68.391152688631593</v>
      </c>
      <c r="Q9" s="673">
        <f t="shared" ca="1" si="1"/>
        <v>0</v>
      </c>
      <c r="R9" s="685">
        <f t="shared" ca="1" si="1"/>
        <v>0</v>
      </c>
    </row>
    <row r="10" spans="1:18" ht="13.5" thickBot="1">
      <c r="A10" s="110"/>
      <c r="B10" s="121"/>
      <c r="C10" s="122"/>
      <c r="D10" s="122"/>
      <c r="E10" s="122"/>
      <c r="F10" s="121"/>
      <c r="G10" s="77"/>
      <c r="H10" s="78" t="str">
        <f>[0]!ActiveSection</f>
        <v>Elliptical</v>
      </c>
      <c r="I10" s="79"/>
      <c r="J10" s="45"/>
      <c r="K10" s="700"/>
      <c r="L10" s="693" t="s">
        <v>312</v>
      </c>
      <c r="M10" s="707">
        <f t="shared" ref="M10:R10" ca="1" si="2">IF(M9&gt;ABS(M8),M9,M8)</f>
        <v>4.7</v>
      </c>
      <c r="N10" s="32">
        <f t="shared" ca="1" si="2"/>
        <v>-170.28391408722391</v>
      </c>
      <c r="O10" s="673">
        <f t="shared" ca="1" si="2"/>
        <v>846</v>
      </c>
      <c r="P10" s="673">
        <f t="shared" ca="1" si="2"/>
        <v>68.391152688631593</v>
      </c>
      <c r="Q10" s="673">
        <f t="shared" ca="1" si="2"/>
        <v>-593060</v>
      </c>
      <c r="R10" s="685">
        <f t="shared" ca="1" si="2"/>
        <v>-12366.239223801542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701"/>
      <c r="L11" s="694" t="s">
        <v>313</v>
      </c>
      <c r="M11" s="708">
        <f t="shared" ref="M11:R11" ca="1" si="3">OFFSET($L$11,MATCH(M10,M12:M62,0),0)</f>
        <v>537.60000000000014</v>
      </c>
      <c r="N11" s="37">
        <f t="shared" ca="1" si="3"/>
        <v>960.00000000000045</v>
      </c>
      <c r="O11" s="674">
        <f t="shared" ca="1" si="3"/>
        <v>0</v>
      </c>
      <c r="P11" s="674">
        <f t="shared" ca="1" si="3"/>
        <v>0</v>
      </c>
      <c r="Q11" s="674">
        <f t="shared" ca="1" si="3"/>
        <v>0</v>
      </c>
      <c r="R11" s="686">
        <f t="shared" ca="1" si="3"/>
        <v>0</v>
      </c>
    </row>
    <row r="12" spans="1:18" ht="13.5" thickTop="1">
      <c r="A12" s="45"/>
      <c r="B12" s="121"/>
      <c r="C12" s="122"/>
      <c r="D12" s="123" t="s">
        <v>332</v>
      </c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700">
        <f>0</f>
        <v>0</v>
      </c>
      <c r="L12" s="675">
        <f t="shared" ref="L12:L43" ca="1" si="4">L*K12</f>
        <v>0</v>
      </c>
      <c r="M12" s="709">
        <f ca="1">INDIRECT(SUBSTITUTE("'S'!M12", "S", Sheet1))                                       +INDIRECT(SUBSTITUTE("'S'!M12", "S", Sheet2))</f>
        <v>0</v>
      </c>
      <c r="N12" s="39">
        <f ca="1">INDIRECT(SUBSTITUTE("'S'!N12", "S", Sheet1))                                       +INDIRECT(SUBSTITUTE("'S'!N12", "S", Sheet2))</f>
        <v>0</v>
      </c>
      <c r="O12" s="675">
        <f ca="1">INDIRECT(SUBSTITUTE("'S'!O12", "S", Sheet1))                                       +INDIRECT(SUBSTITUTE("'S'!O12", "S", Sheet2))</f>
        <v>846</v>
      </c>
      <c r="P12" s="675">
        <f ca="1">INDIRECT(SUBSTITUTE("'S'!P12", "S", Sheet1))                                       +INDIRECT(SUBSTITUTE("'S'!P12", "S", Sheet2))</f>
        <v>68.391152688631593</v>
      </c>
      <c r="Q12" s="675">
        <f ca="1">INDIRECT(SUBSTITUTE("'S'!Q12", "S", Sheet1))                                       +INDIRECT(SUBSTITUTE("'S'!Q12", "S", Sheet2))</f>
        <v>-593060</v>
      </c>
      <c r="R12" s="687">
        <f ca="1">INDIRECT(SUBSTITUTE("'S'!R12", "S", Sheet1))                                       +INDIRECT(SUBSTITUTE("'S'!R12", "S", Sheet2))</f>
        <v>-12366.239223801542</v>
      </c>
    </row>
    <row r="13" spans="1:18">
      <c r="A13" s="336" t="s">
        <v>348</v>
      </c>
      <c r="B13" s="121"/>
      <c r="C13" s="122"/>
      <c r="D13" s="122"/>
      <c r="E13" s="122"/>
      <c r="F13" s="121"/>
      <c r="G13" s="661">
        <f ca="1">INDIRECT(SUBSTITUTE("'S'!G13", "S", Sheet1))</f>
        <v>11875.220230569419</v>
      </c>
      <c r="H13" s="45"/>
      <c r="I13" s="662">
        <f ca="1">INDIRECT(SUBSTITUTE("'S'!i13", "S", Sheet1))</f>
        <v>902.51673752327588</v>
      </c>
      <c r="J13" s="45"/>
      <c r="K13" s="700">
        <f t="shared" ref="K13:K44" si="5">K12+0.02</f>
        <v>0.02</v>
      </c>
      <c r="L13" s="675">
        <f t="shared" ca="1" si="4"/>
        <v>19.2</v>
      </c>
      <c r="M13" s="709">
        <f ca="1">INDIRECT(SUBSTITUTE("'S'!M13", "S", Sheet1))                                       +INDIRECT(SUBSTITUTE("'S'!M13", "S", Sheet2))</f>
        <v>0</v>
      </c>
      <c r="N13" s="39">
        <f ca="1">INDIRECT(SUBSTITUTE("'S'!N13", "S", Sheet1))                                       +INDIRECT(SUBSTITUTE("'S'!N13", "S", Sheet2))</f>
        <v>-0.12274650575443469</v>
      </c>
      <c r="O13" s="675">
        <f ca="1">INDIRECT(SUBSTITUTE("'S'!O13", "S", Sheet1))                                       +INDIRECT(SUBSTITUTE("'S'!O13", "S", Sheet2))</f>
        <v>846</v>
      </c>
      <c r="P13" s="675">
        <f ca="1">INDIRECT(SUBSTITUTE("'S'!P13", "S", Sheet1))                                       +INDIRECT(SUBSTITUTE("'S'!P13", "S", Sheet2))</f>
        <v>68.391152688631593</v>
      </c>
      <c r="Q13" s="675">
        <f ca="1">INDIRECT(SUBSTITUTE("'S'!Q13", "S", Sheet1))                                       +INDIRECT(SUBSTITUTE("'S'!Q13", "S", Sheet2))</f>
        <v>-576816.80000000005</v>
      </c>
      <c r="R13" s="687">
        <f ca="1">INDIRECT(SUBSTITUTE("'S'!R13", "S", Sheet1))                                       +INDIRECT(SUBSTITUTE("'S'!R13", "S", Sheet2))</f>
        <v>-12027.542806980218</v>
      </c>
    </row>
    <row r="14" spans="1:18" ht="13.5" thickBot="1">
      <c r="A14" s="94">
        <f>'Cant.-Conc. F'!A14+'Cant. Conc. M'!Ma</f>
        <v>628200</v>
      </c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700">
        <f t="shared" si="5"/>
        <v>0.04</v>
      </c>
      <c r="L14" s="675">
        <f t="shared" ca="1" si="4"/>
        <v>38.4</v>
      </c>
      <c r="M14" s="709">
        <f ca="1">INDIRECT(SUBSTITUTE("'S'!M14", "S", Sheet1))                                       +INDIRECT(SUBSTITUTE("'S'!M14", "S", Sheet2))</f>
        <v>0</v>
      </c>
      <c r="N14" s="39">
        <f ca="1">INDIRECT(SUBSTITUTE("'S'!N14", "S", Sheet1))                                       +INDIRECT(SUBSTITUTE("'S'!N14", "S", Sheet2))</f>
        <v>-0.48646221696349912</v>
      </c>
      <c r="O14" s="675">
        <f ca="1">INDIRECT(SUBSTITUTE("'S'!O14", "S", Sheet1))                                       +INDIRECT(SUBSTITUTE("'S'!O14", "S", Sheet2))</f>
        <v>846</v>
      </c>
      <c r="P14" s="675">
        <f ca="1">INDIRECT(SUBSTITUTE("'S'!P14", "S", Sheet1))                                       +INDIRECT(SUBSTITUTE("'S'!P14", "S", Sheet2))</f>
        <v>68.391152688631593</v>
      </c>
      <c r="Q14" s="675">
        <f ca="1">INDIRECT(SUBSTITUTE("'S'!Q14", "S", Sheet1))                                       +INDIRECT(SUBSTITUTE("'S'!Q14", "S", Sheet2))</f>
        <v>-560573.6</v>
      </c>
      <c r="R14" s="687">
        <f ca="1">INDIRECT(SUBSTITUTE("'S'!R14", "S", Sheet1))                                       +INDIRECT(SUBSTITUTE("'S'!R14", "S", Sheet2))</f>
        <v>-11688.846390158897</v>
      </c>
    </row>
    <row r="15" spans="1:18" ht="14.25" thickTop="1" thickBot="1">
      <c r="A15" s="94" t="str">
        <f>IF(ActiveUnits="SI", SUBSTITUTE(SUBSTITUTE("F-D", "F", ForceUnits), "D", DistanceUnits), SUBSTITUTE(SUBSTITUTE("D-F", "F", ForceUnits), "D", DistanceUnits))</f>
        <v>in-lb</v>
      </c>
      <c r="B15" s="124"/>
      <c r="C15" s="124"/>
      <c r="D15" s="122"/>
      <c r="E15" s="122"/>
      <c r="F15" s="125"/>
      <c r="G15" s="45"/>
      <c r="H15" s="45"/>
      <c r="I15" s="45"/>
      <c r="J15" s="45"/>
      <c r="K15" s="700">
        <f t="shared" si="5"/>
        <v>0.06</v>
      </c>
      <c r="L15" s="675">
        <f t="shared" ca="1" si="4"/>
        <v>57.599999999999994</v>
      </c>
      <c r="M15" s="709">
        <f ca="1">INDIRECT(SUBSTITUTE("'S'!M15", "S", Sheet1))                                       +INDIRECT(SUBSTITUTE("'S'!M15", "S", Sheet2))</f>
        <v>0</v>
      </c>
      <c r="N15" s="39">
        <f ca="1">INDIRECT(SUBSTITUTE("'S'!N15", "S", Sheet1))                                       +INDIRECT(SUBSTITUTE("'S'!N15", "S", Sheet2))</f>
        <v>-1.0843614245458337</v>
      </c>
      <c r="O15" s="675">
        <f ca="1">INDIRECT(SUBSTITUTE("'S'!O15", "S", Sheet1))                                       +INDIRECT(SUBSTITUTE("'S'!O15", "S", Sheet2))</f>
        <v>846</v>
      </c>
      <c r="P15" s="675">
        <f ca="1">INDIRECT(SUBSTITUTE("'S'!P15", "S", Sheet1))                                       +INDIRECT(SUBSTITUTE("'S'!P15", "S", Sheet2))</f>
        <v>68.391152688631593</v>
      </c>
      <c r="Q15" s="675">
        <f ca="1">INDIRECT(SUBSTITUTE("'S'!Q15", "S", Sheet1))                                       +INDIRECT(SUBSTITUTE("'S'!Q15", "S", Sheet2))</f>
        <v>-544330.4</v>
      </c>
      <c r="R15" s="687">
        <f ca="1">INDIRECT(SUBSTITUTE("'S'!R15", "S", Sheet1))                                       +INDIRECT(SUBSTITUTE("'S'!R15", "S", Sheet2))</f>
        <v>-11350.149973337577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700">
        <f t="shared" si="5"/>
        <v>0.08</v>
      </c>
      <c r="L16" s="675">
        <f t="shared" ca="1" si="4"/>
        <v>76.8</v>
      </c>
      <c r="M16" s="709">
        <f ca="1">INDIRECT(SUBSTITUTE("'S'!M16", "S", Sheet1))                                       +INDIRECT(SUBSTITUTE("'S'!M16", "S", Sheet2))</f>
        <v>0</v>
      </c>
      <c r="N16" s="39">
        <f ca="1">INDIRECT(SUBSTITUTE("'S'!N16", "S", Sheet1))                                       +INDIRECT(SUBSTITUTE("'S'!N16", "S", Sheet2))</f>
        <v>-1.9096584194200799</v>
      </c>
      <c r="O16" s="675">
        <f ca="1">INDIRECT(SUBSTITUTE("'S'!O16", "S", Sheet1))                                       +INDIRECT(SUBSTITUTE("'S'!O16", "S", Sheet2))</f>
        <v>846</v>
      </c>
      <c r="P16" s="675">
        <f ca="1">INDIRECT(SUBSTITUTE("'S'!P16", "S", Sheet1))                                       +INDIRECT(SUBSTITUTE("'S'!P16", "S", Sheet2))</f>
        <v>68.391152688631593</v>
      </c>
      <c r="Q16" s="675">
        <f ca="1">INDIRECT(SUBSTITUTE("'S'!Q16", "S", Sheet1))                                       +INDIRECT(SUBSTITUTE("'S'!Q16", "S", Sheet2))</f>
        <v>-528087.19999999995</v>
      </c>
      <c r="R16" s="687">
        <f ca="1">INDIRECT(SUBSTITUTE("'S'!R16", "S", Sheet1))                                       +INDIRECT(SUBSTITUTE("'S'!R16", "S", Sheet2))</f>
        <v>-11011.453556516253</v>
      </c>
    </row>
    <row r="17" spans="1:18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700">
        <f t="shared" si="5"/>
        <v>0.1</v>
      </c>
      <c r="L17" s="675">
        <f t="shared" ca="1" si="4"/>
        <v>96</v>
      </c>
      <c r="M17" s="709">
        <f ca="1">INDIRECT(SUBSTITUTE("'S'!M17", "S", Sheet1))                                       +INDIRECT(SUBSTITUTE("'S'!M17", "S", Sheet2))</f>
        <v>0</v>
      </c>
      <c r="N17" s="39">
        <f ca="1">INDIRECT(SUBSTITUTE("'S'!N17", "S", Sheet1))                                       +INDIRECT(SUBSTITUTE("'S'!N17", "S", Sheet2))</f>
        <v>-2.9555674925048776</v>
      </c>
      <c r="O17" s="675">
        <f ca="1">INDIRECT(SUBSTITUTE("'S'!O17", "S", Sheet1))                                       +INDIRECT(SUBSTITUTE("'S'!O17", "S", Sheet2))</f>
        <v>846</v>
      </c>
      <c r="P17" s="675">
        <f ca="1">INDIRECT(SUBSTITUTE("'S'!P17", "S", Sheet1))                                       +INDIRECT(SUBSTITUTE("'S'!P17", "S", Sheet2))</f>
        <v>68.391152688631593</v>
      </c>
      <c r="Q17" s="675">
        <f ca="1">INDIRECT(SUBSTITUTE("'S'!Q17", "S", Sheet1))                                       +INDIRECT(SUBSTITUTE("'S'!Q17", "S", Sheet2))</f>
        <v>-511844</v>
      </c>
      <c r="R17" s="687">
        <f ca="1">INDIRECT(SUBSTITUTE("'S'!R17", "S", Sheet1))                                       +INDIRECT(SUBSTITUTE("'S'!R17", "S", Sheet2))</f>
        <v>-10672.757139694932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700">
        <f t="shared" si="5"/>
        <v>0.12000000000000001</v>
      </c>
      <c r="L18" s="675">
        <f t="shared" ca="1" si="4"/>
        <v>115.2</v>
      </c>
      <c r="M18" s="709">
        <f ca="1">INDIRECT(SUBSTITUTE("'S'!M18", "S", Sheet1))                                       +INDIRECT(SUBSTITUTE("'S'!M18", "S", Sheet2))</f>
        <v>0</v>
      </c>
      <c r="N18" s="39">
        <f ca="1">INDIRECT(SUBSTITUTE("'S'!N18", "S", Sheet1))                                       +INDIRECT(SUBSTITUTE("'S'!N18", "S", Sheet2))</f>
        <v>-4.2153029347188689</v>
      </c>
      <c r="O18" s="675">
        <f ca="1">INDIRECT(SUBSTITUTE("'S'!O18", "S", Sheet1))                                       +INDIRECT(SUBSTITUTE("'S'!O18", "S", Sheet2))</f>
        <v>846</v>
      </c>
      <c r="P18" s="675">
        <f ca="1">INDIRECT(SUBSTITUTE("'S'!P18", "S", Sheet1))                                       +INDIRECT(SUBSTITUTE("'S'!P18", "S", Sheet2))</f>
        <v>68.391152688631593</v>
      </c>
      <c r="Q18" s="675">
        <f ca="1">INDIRECT(SUBSTITUTE("'S'!Q18", "S", Sheet1))                                       +INDIRECT(SUBSTITUTE("'S'!Q18", "S", Sheet2))</f>
        <v>-495600.8</v>
      </c>
      <c r="R18" s="687">
        <f ca="1">INDIRECT(SUBSTITUTE("'S'!R18", "S", Sheet1))                                       +INDIRECT(SUBSTITUTE("'S'!R18", "S", Sheet2))</f>
        <v>-10334.06072287361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0.51525996765839754</v>
      </c>
      <c r="J19" s="45"/>
      <c r="K19" s="700">
        <f t="shared" si="5"/>
        <v>0.14000000000000001</v>
      </c>
      <c r="L19" s="675">
        <f t="shared" ca="1" si="4"/>
        <v>134.4</v>
      </c>
      <c r="M19" s="709">
        <f ca="1">INDIRECT(SUBSTITUTE("'S'!M19", "S", Sheet1))                                       +INDIRECT(SUBSTITUTE("'S'!M19", "S", Sheet2))</f>
        <v>0</v>
      </c>
      <c r="N19" s="39">
        <f ca="1">INDIRECT(SUBSTITUTE("'S'!N19", "S", Sheet1))                                       +INDIRECT(SUBSTITUTE("'S'!N19", "S", Sheet2))</f>
        <v>-5.6820790369806913</v>
      </c>
      <c r="O19" s="675">
        <f ca="1">INDIRECT(SUBSTITUTE("'S'!O19", "S", Sheet1))                                       +INDIRECT(SUBSTITUTE("'S'!O19", "S", Sheet2))</f>
        <v>846</v>
      </c>
      <c r="P19" s="675">
        <f ca="1">INDIRECT(SUBSTITUTE("'S'!P19", "S", Sheet1))                                       +INDIRECT(SUBSTITUTE("'S'!P19", "S", Sheet2))</f>
        <v>68.391152688631593</v>
      </c>
      <c r="Q19" s="675">
        <f ca="1">INDIRECT(SUBSTITUTE("'S'!Q19", "S", Sheet1))                                       +INDIRECT(SUBSTITUTE("'S'!Q19", "S", Sheet2))</f>
        <v>-479357.6</v>
      </c>
      <c r="R19" s="687">
        <f ca="1">INDIRECT(SUBSTITUTE("'S'!R19", "S", Sheet1))                                       +INDIRECT(SUBSTITUTE("'S'!R19", "S", Sheet2))</f>
        <v>-9995.3643060522863</v>
      </c>
    </row>
    <row r="20" spans="1:18" ht="14.25" thickTop="1" thickBot="1">
      <c r="A20" s="45"/>
      <c r="B20" s="96"/>
      <c r="C20" s="121"/>
      <c r="D20" s="121"/>
      <c r="E20" s="121"/>
      <c r="F20" s="96"/>
      <c r="G20" s="45"/>
      <c r="H20" s="45"/>
      <c r="I20" s="45"/>
      <c r="J20" s="45"/>
      <c r="K20" s="700">
        <f t="shared" si="5"/>
        <v>0.16</v>
      </c>
      <c r="L20" s="675">
        <f t="shared" ca="1" si="4"/>
        <v>153.6</v>
      </c>
      <c r="M20" s="709">
        <f ca="1">INDIRECT(SUBSTITUTE("'S'!M20", "S", Sheet1))                                       +INDIRECT(SUBSTITUTE("'S'!M20", "S", Sheet2))</f>
        <v>0</v>
      </c>
      <c r="N20" s="39">
        <f ca="1">INDIRECT(SUBSTITUTE("'S'!N20", "S", Sheet1))                                       +INDIRECT(SUBSTITUTE("'S'!N20", "S", Sheet2))</f>
        <v>-7.3491100902089883</v>
      </c>
      <c r="O20" s="675">
        <f ca="1">INDIRECT(SUBSTITUTE("'S'!O20", "S", Sheet1))                                       +INDIRECT(SUBSTITUTE("'S'!O20", "S", Sheet2))</f>
        <v>846</v>
      </c>
      <c r="P20" s="675">
        <f ca="1">INDIRECT(SUBSTITUTE("'S'!P20", "S", Sheet1))                                       +INDIRECT(SUBSTITUTE("'S'!P20", "S", Sheet2))</f>
        <v>68.391152688631593</v>
      </c>
      <c r="Q20" s="675">
        <f ca="1">INDIRECT(SUBSTITUTE("'S'!Q20", "S", Sheet1))                                       +INDIRECT(SUBSTITUTE("'S'!Q20", "S", Sheet2))</f>
        <v>-463114.4</v>
      </c>
      <c r="R20" s="687">
        <f ca="1">INDIRECT(SUBSTITUTE("'S'!R20", "S", Sheet1))                                       +INDIRECT(SUBSTITUTE("'S'!R20", "S", Sheet2))</f>
        <v>-9656.6678892309665</v>
      </c>
    </row>
    <row r="21" spans="1:18" ht="13.5" thickTop="1">
      <c r="A21" s="45"/>
      <c r="B21" s="97"/>
      <c r="C21" s="121"/>
      <c r="D21" s="121"/>
      <c r="E21" s="121"/>
      <c r="F21" s="97"/>
      <c r="G21" s="88" t="s">
        <v>320</v>
      </c>
      <c r="H21" s="45"/>
      <c r="I21" s="80" t="s">
        <v>318</v>
      </c>
      <c r="J21" s="45"/>
      <c r="K21" s="700">
        <f t="shared" si="5"/>
        <v>0.18</v>
      </c>
      <c r="L21" s="675">
        <f t="shared" ca="1" si="4"/>
        <v>172.79999999999998</v>
      </c>
      <c r="M21" s="709">
        <f ca="1">INDIRECT(SUBSTITUTE("'S'!M21", "S", Sheet1))                                       +INDIRECT(SUBSTITUTE("'S'!M21", "S", Sheet2))</f>
        <v>0</v>
      </c>
      <c r="N21" s="39">
        <f ca="1">INDIRECT(SUBSTITUTE("'S'!N21", "S", Sheet1))                                       +INDIRECT(SUBSTITUTE("'S'!N21", "S", Sheet2))</f>
        <v>-9.2096103853223958</v>
      </c>
      <c r="O21" s="675">
        <f ca="1">INDIRECT(SUBSTITUTE("'S'!O21", "S", Sheet1))                                       +INDIRECT(SUBSTITUTE("'S'!O21", "S", Sheet2))</f>
        <v>846</v>
      </c>
      <c r="P21" s="675">
        <f ca="1">INDIRECT(SUBSTITUTE("'S'!P21", "S", Sheet1))                                       +INDIRECT(SUBSTITUTE("'S'!P21", "S", Sheet2))</f>
        <v>68.391152688631593</v>
      </c>
      <c r="Q21" s="675">
        <f ca="1">INDIRECT(SUBSTITUTE("'S'!Q21", "S", Sheet1))                                       +INDIRECT(SUBSTITUTE("'S'!Q21", "S", Sheet2))</f>
        <v>-446871.2</v>
      </c>
      <c r="R21" s="687">
        <f ca="1">INDIRECT(SUBSTITUTE("'S'!R21", "S", Sheet1))                                       +INDIRECT(SUBSTITUTE("'S'!R21", "S", Sheet2))</f>
        <v>-9317.9714724096448</v>
      </c>
    </row>
    <row r="22" spans="1:18">
      <c r="A22" s="110" t="s">
        <v>316</v>
      </c>
      <c r="B22" s="127"/>
      <c r="C22" s="121"/>
      <c r="D22" s="121"/>
      <c r="E22" s="121"/>
      <c r="F22" s="127"/>
      <c r="G22" s="90" t="s">
        <v>322</v>
      </c>
      <c r="H22" s="45"/>
      <c r="I22" s="82" t="s">
        <v>296</v>
      </c>
      <c r="J22" s="45"/>
      <c r="K22" s="700">
        <f t="shared" si="5"/>
        <v>0.19999999999999998</v>
      </c>
      <c r="L22" s="675">
        <f t="shared" ca="1" si="4"/>
        <v>191.99999999999997</v>
      </c>
      <c r="M22" s="709">
        <f ca="1">INDIRECT(SUBSTITUTE("'S'!M22", "S", Sheet1))                                       +INDIRECT(SUBSTITUTE("'S'!M22", "S", Sheet2))</f>
        <v>0</v>
      </c>
      <c r="N22" s="39">
        <f ca="1">INDIRECT(SUBSTITUTE("'S'!N22", "S", Sheet1))                                       +INDIRECT(SUBSTITUTE("'S'!N22", "S", Sheet2))</f>
        <v>-11.256794213239562</v>
      </c>
      <c r="O22" s="675">
        <f ca="1">INDIRECT(SUBSTITUTE("'S'!O22", "S", Sheet1))                                       +INDIRECT(SUBSTITUTE("'S'!O22", "S", Sheet2))</f>
        <v>846</v>
      </c>
      <c r="P22" s="675">
        <f ca="1">INDIRECT(SUBSTITUTE("'S'!P22", "S", Sheet1))                                       +INDIRECT(SUBSTITUTE("'S'!P22", "S", Sheet2))</f>
        <v>68.391152688631593</v>
      </c>
      <c r="Q22" s="675">
        <f ca="1">INDIRECT(SUBSTITUTE("'S'!Q22", "S", Sheet1))                                       +INDIRECT(SUBSTITUTE("'S'!Q22", "S", Sheet2))</f>
        <v>-430628</v>
      </c>
      <c r="R22" s="687">
        <f ca="1">INDIRECT(SUBSTITUTE("'S'!R22", "S", Sheet1))                                       +INDIRECT(SUBSTITUTE("'S'!R22", "S", Sheet2))</f>
        <v>-8979.2750555883213</v>
      </c>
    </row>
    <row r="23" spans="1:18">
      <c r="A23" s="94">
        <f ca="1">INDIRECT(SUBSTITUTE("'S'!Ra", "S", Sheet1))                                        +INDIRECT(SUBSTITUTE("'S'!Ra", "S", Sheet2))</f>
        <v>846</v>
      </c>
      <c r="B23" s="121"/>
      <c r="C23" s="121"/>
      <c r="D23" s="121"/>
      <c r="E23" s="121"/>
      <c r="F23" s="121"/>
      <c r="G23" s="82">
        <f ca="1">INDIRECT(SUBSTITUTE("'S'!G23", "S", Sheet1))                                        +INDIRECT(SUBSTITUTE("'S'!G23", "S", Sheet2))</f>
        <v>-13.343741631366768</v>
      </c>
      <c r="H23" s="45"/>
      <c r="I23" s="86" t="s">
        <v>303</v>
      </c>
      <c r="J23" s="45"/>
      <c r="K23" s="700">
        <f t="shared" si="5"/>
        <v>0.21999999999999997</v>
      </c>
      <c r="L23" s="675">
        <f t="shared" ca="1" si="4"/>
        <v>211.2</v>
      </c>
      <c r="M23" s="709">
        <f ca="1">INDIRECT(SUBSTITUTE("'S'!M23", "S", Sheet1))                                       +INDIRECT(SUBSTITUTE("'S'!M23", "S", Sheet2))</f>
        <v>0</v>
      </c>
      <c r="N23" s="39">
        <f ca="1">INDIRECT(SUBSTITUTE("'S'!N23", "S", Sheet1))                                       +INDIRECT(SUBSTITUTE("'S'!N23", "S", Sheet2))</f>
        <v>-13.483875864879126</v>
      </c>
      <c r="O23" s="675">
        <f ca="1">INDIRECT(SUBSTITUTE("'S'!O23", "S", Sheet1))                                       +INDIRECT(SUBSTITUTE("'S'!O23", "S", Sheet2))</f>
        <v>846</v>
      </c>
      <c r="P23" s="675">
        <f ca="1">INDIRECT(SUBSTITUTE("'S'!P23", "S", Sheet1))                                       +INDIRECT(SUBSTITUTE("'S'!P23", "S", Sheet2))</f>
        <v>68.391152688631593</v>
      </c>
      <c r="Q23" s="675">
        <f ca="1">INDIRECT(SUBSTITUTE("'S'!Q23", "S", Sheet1))                                       +INDIRECT(SUBSTITUTE("'S'!Q23", "S", Sheet2))</f>
        <v>-414384.80000000005</v>
      </c>
      <c r="R23" s="687">
        <f ca="1">INDIRECT(SUBSTITUTE("'S'!R23", "S", Sheet1))                                       +INDIRECT(SUBSTITUTE("'S'!R23", "S", Sheet2))</f>
        <v>-8640.5786387670014</v>
      </c>
    </row>
    <row r="24" spans="1:18" ht="13.5" thickBot="1">
      <c r="A24" s="94" t="str">
        <f>ForceUnits</f>
        <v>lb</v>
      </c>
      <c r="B24" s="121"/>
      <c r="C24" s="121"/>
      <c r="D24" s="121"/>
      <c r="E24" s="121"/>
      <c r="F24" s="121"/>
      <c r="G24" s="84" t="s">
        <v>323</v>
      </c>
      <c r="H24" s="45"/>
      <c r="I24" s="85">
        <f ca="1">IF(ABS(P10)/[0]!Strength &lt; 1, ABS(P10)/[0]!Strength, "FAILED.")</f>
        <v>2.8496313620263165E-3</v>
      </c>
      <c r="J24" s="45"/>
      <c r="K24" s="700">
        <f t="shared" si="5"/>
        <v>0.23999999999999996</v>
      </c>
      <c r="L24" s="675">
        <f t="shared" ca="1" si="4"/>
        <v>230.39999999999998</v>
      </c>
      <c r="M24" s="709">
        <f ca="1">INDIRECT(SUBSTITUTE("'S'!M24", "S", Sheet1))                                       +INDIRECT(SUBSTITUTE("'S'!M24", "S", Sheet2))</f>
        <v>0</v>
      </c>
      <c r="N24" s="39">
        <f ca="1">INDIRECT(SUBSTITUTE("'S'!N24", "S", Sheet1))                                       +INDIRECT(SUBSTITUTE("'S'!N24", "S", Sheet2))</f>
        <v>-15.88406963115972</v>
      </c>
      <c r="O24" s="675">
        <f ca="1">INDIRECT(SUBSTITUTE("'S'!O24", "S", Sheet1))                                       +INDIRECT(SUBSTITUTE("'S'!O24", "S", Sheet2))</f>
        <v>846</v>
      </c>
      <c r="P24" s="675">
        <f ca="1">INDIRECT(SUBSTITUTE("'S'!P24", "S", Sheet1))                                       +INDIRECT(SUBSTITUTE("'S'!P24", "S", Sheet2))</f>
        <v>68.391152688631593</v>
      </c>
      <c r="Q24" s="675">
        <f ca="1">INDIRECT(SUBSTITUTE("'S'!Q24", "S", Sheet1))                                       +INDIRECT(SUBSTITUTE("'S'!Q24", "S", Sheet2))</f>
        <v>-398141.6</v>
      </c>
      <c r="R24" s="687">
        <f ca="1">INDIRECT(SUBSTITUTE("'S'!R24", "S", Sheet1))                                       +INDIRECT(SUBSTITUTE("'S'!R24", "S", Sheet2))</f>
        <v>-8301.8822219456779</v>
      </c>
    </row>
    <row r="25" spans="1:18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700">
        <f t="shared" si="5"/>
        <v>0.25999999999999995</v>
      </c>
      <c r="L25" s="675">
        <f t="shared" ca="1" si="4"/>
        <v>249.59999999999997</v>
      </c>
      <c r="M25" s="709">
        <f ca="1">INDIRECT(SUBSTITUTE("'S'!M25", "S", Sheet1))                                       +INDIRECT(SUBSTITUTE("'S'!M25", "S", Sheet2))</f>
        <v>0</v>
      </c>
      <c r="N25" s="39">
        <f ca="1">INDIRECT(SUBSTITUTE("'S'!N25", "S", Sheet1))                                       +INDIRECT(SUBSTITUTE("'S'!N25", "S", Sheet2))</f>
        <v>-18.450589802999996</v>
      </c>
      <c r="O25" s="675">
        <f ca="1">INDIRECT(SUBSTITUTE("'S'!O25", "S", Sheet1))                                       +INDIRECT(SUBSTITUTE("'S'!O25", "S", Sheet2))</f>
        <v>846</v>
      </c>
      <c r="P25" s="675">
        <f ca="1">INDIRECT(SUBSTITUTE("'S'!P25", "S", Sheet1))                                       +INDIRECT(SUBSTITUTE("'S'!P25", "S", Sheet2))</f>
        <v>68.391152688631593</v>
      </c>
      <c r="Q25" s="675">
        <f ca="1">INDIRECT(SUBSTITUTE("'S'!Q25", "S", Sheet1))                                       +INDIRECT(SUBSTITUTE("'S'!Q25", "S", Sheet2))</f>
        <v>-381898.4</v>
      </c>
      <c r="R25" s="687">
        <f ca="1">INDIRECT(SUBSTITUTE("'S'!R25", "S", Sheet1))                                       +INDIRECT(SUBSTITUTE("'S'!R25", "S", Sheet2))</f>
        <v>-7963.1858051243562</v>
      </c>
    </row>
    <row r="26" spans="1:18" ht="13.5" thickTop="1">
      <c r="A26" s="45"/>
      <c r="B26" s="121"/>
      <c r="C26" s="121"/>
      <c r="D26" s="121"/>
      <c r="E26" s="121"/>
      <c r="F26" s="121"/>
      <c r="G26" s="45"/>
      <c r="H26" s="45"/>
      <c r="I26" s="89" t="s">
        <v>321</v>
      </c>
      <c r="J26" s="87"/>
      <c r="K26" s="700">
        <f t="shared" si="5"/>
        <v>0.27999999999999997</v>
      </c>
      <c r="L26" s="675">
        <f t="shared" ca="1" si="4"/>
        <v>268.79999999999995</v>
      </c>
      <c r="M26" s="709">
        <f ca="1">INDIRECT(SUBSTITUTE("'S'!M26", "S", Sheet1))                                       +INDIRECT(SUBSTITUTE("'S'!M26", "S", Sheet2))</f>
        <v>0</v>
      </c>
      <c r="N26" s="39">
        <f ca="1">INDIRECT(SUBSTITUTE("'S'!N26", "S", Sheet1))                                       +INDIRECT(SUBSTITUTE("'S'!N26", "S", Sheet2))</f>
        <v>-21.176650671318583</v>
      </c>
      <c r="O26" s="675">
        <f ca="1">INDIRECT(SUBSTITUTE("'S'!O26", "S", Sheet1))                                       +INDIRECT(SUBSTITUTE("'S'!O26", "S", Sheet2))</f>
        <v>846</v>
      </c>
      <c r="P26" s="675">
        <f ca="1">INDIRECT(SUBSTITUTE("'S'!P26", "S", Sheet1))                                       +INDIRECT(SUBSTITUTE("'S'!P26", "S", Sheet2))</f>
        <v>68.391152688631593</v>
      </c>
      <c r="Q26" s="675">
        <f ca="1">INDIRECT(SUBSTITUTE("'S'!Q26", "S", Sheet1))                                       +INDIRECT(SUBSTITUTE("'S'!Q26", "S", Sheet2))</f>
        <v>-365655.20000000007</v>
      </c>
      <c r="R26" s="687">
        <f ca="1">INDIRECT(SUBSTITUTE("'S'!R26", "S", Sheet1))                                       +INDIRECT(SUBSTITUTE("'S'!R26", "S", Sheet2))</f>
        <v>-7624.4893883030354</v>
      </c>
    </row>
    <row r="27" spans="1:18">
      <c r="A27" s="45"/>
      <c r="B27" s="121"/>
      <c r="C27" s="121"/>
      <c r="D27" s="121"/>
      <c r="E27" s="121"/>
      <c r="F27" s="121"/>
      <c r="G27" s="45"/>
      <c r="H27" s="45"/>
      <c r="I27" s="91" t="s">
        <v>295</v>
      </c>
      <c r="J27" s="87"/>
      <c r="K27" s="700">
        <f t="shared" si="5"/>
        <v>0.3</v>
      </c>
      <c r="L27" s="675">
        <f t="shared" ca="1" si="4"/>
        <v>288</v>
      </c>
      <c r="M27" s="709">
        <f ca="1">INDIRECT(SUBSTITUTE("'S'!M27", "S", Sheet1))                                       +INDIRECT(SUBSTITUTE("'S'!M27", "S", Sheet2))</f>
        <v>0</v>
      </c>
      <c r="N27" s="39">
        <f ca="1">INDIRECT(SUBSTITUTE("'S'!N27", "S", Sheet1))                                       +INDIRECT(SUBSTITUTE("'S'!N27", "S", Sheet2))</f>
        <v>-24.055466527034142</v>
      </c>
      <c r="O27" s="675">
        <f ca="1">INDIRECT(SUBSTITUTE("'S'!O27", "S", Sheet1))                                       +INDIRECT(SUBSTITUTE("'S'!O27", "S", Sheet2))</f>
        <v>846</v>
      </c>
      <c r="P27" s="675">
        <f ca="1">INDIRECT(SUBSTITUTE("'S'!P27", "S", Sheet1))                                       +INDIRECT(SUBSTITUTE("'S'!P27", "S", Sheet2))</f>
        <v>68.391152688631593</v>
      </c>
      <c r="Q27" s="675">
        <f ca="1">INDIRECT(SUBSTITUTE("'S'!Q27", "S", Sheet1))                                       +INDIRECT(SUBSTITUTE("'S'!Q27", "S", Sheet2))</f>
        <v>-349412</v>
      </c>
      <c r="R27" s="687">
        <f ca="1">INDIRECT(SUBSTITUTE("'S'!R27", "S", Sheet1))                                       +INDIRECT(SUBSTITUTE("'S'!R27", "S", Sheet2))</f>
        <v>-7285.7929714817119</v>
      </c>
    </row>
    <row r="28" spans="1:18">
      <c r="A28" s="45"/>
      <c r="B28" s="121"/>
      <c r="C28" s="121"/>
      <c r="D28" s="121"/>
      <c r="E28" s="121"/>
      <c r="F28" s="121"/>
      <c r="G28" s="45"/>
      <c r="H28" s="45"/>
      <c r="I28" s="663">
        <f ca="1">N10</f>
        <v>-170.28391408722391</v>
      </c>
      <c r="J28" s="87"/>
      <c r="K28" s="700">
        <f t="shared" si="5"/>
        <v>0.32</v>
      </c>
      <c r="L28" s="675">
        <f t="shared" ca="1" si="4"/>
        <v>307.2</v>
      </c>
      <c r="M28" s="709">
        <f ca="1">INDIRECT(SUBSTITUTE("'S'!M28", "S", Sheet1))                                       +INDIRECT(SUBSTITUTE("'S'!M28", "S", Sheet2))</f>
        <v>0</v>
      </c>
      <c r="N28" s="39">
        <f ca="1">INDIRECT(SUBSTITUTE("'S'!N28", "S", Sheet1))                                       +INDIRECT(SUBSTITUTE("'S'!N28", "S", Sheet2))</f>
        <v>-27.08025166106529</v>
      </c>
      <c r="O28" s="675">
        <f ca="1">INDIRECT(SUBSTITUTE("'S'!O28", "S", Sheet1))                                       +INDIRECT(SUBSTITUTE("'S'!O28", "S", Sheet2))</f>
        <v>846</v>
      </c>
      <c r="P28" s="675">
        <f ca="1">INDIRECT(SUBSTITUTE("'S'!P28", "S", Sheet1))                                       +INDIRECT(SUBSTITUTE("'S'!P28", "S", Sheet2))</f>
        <v>68.391152688631593</v>
      </c>
      <c r="Q28" s="675">
        <f ca="1">INDIRECT(SUBSTITUTE("'S'!Q28", "S", Sheet1))                                       +INDIRECT(SUBSTITUTE("'S'!Q28", "S", Sheet2))</f>
        <v>-333168.80000000005</v>
      </c>
      <c r="R28" s="687">
        <f ca="1">INDIRECT(SUBSTITUTE("'S'!R28", "S", Sheet1))                                       +INDIRECT(SUBSTITUTE("'S'!R28", "S", Sheet2))</f>
        <v>-6947.0965546603902</v>
      </c>
    </row>
    <row r="29" spans="1:18" ht="13.5" thickBot="1">
      <c r="A29" s="45"/>
      <c r="B29" s="121"/>
      <c r="C29" s="121"/>
      <c r="D29" s="121"/>
      <c r="E29" s="121"/>
      <c r="F29" s="121"/>
      <c r="G29" s="45"/>
      <c r="H29" s="45"/>
      <c r="I29" s="92" t="str">
        <f>DistanceUnits</f>
        <v>in</v>
      </c>
      <c r="J29" s="87"/>
      <c r="K29" s="700">
        <f t="shared" si="5"/>
        <v>0.34</v>
      </c>
      <c r="L29" s="675">
        <f t="shared" ca="1" si="4"/>
        <v>326.40000000000003</v>
      </c>
      <c r="M29" s="709">
        <f ca="1">INDIRECT(SUBSTITUTE("'S'!M29", "S", Sheet1))                                       +INDIRECT(SUBSTITUTE("'S'!M29", "S", Sheet2))</f>
        <v>0</v>
      </c>
      <c r="N29" s="39">
        <f ca="1">INDIRECT(SUBSTITUTE("'S'!N29", "S", Sheet1))                                       +INDIRECT(SUBSTITUTE("'S'!N29", "S", Sheet2))</f>
        <v>-30.244220364330687</v>
      </c>
      <c r="O29" s="675">
        <f ca="1">INDIRECT(SUBSTITUTE("'S'!O29", "S", Sheet1))                                       +INDIRECT(SUBSTITUTE("'S'!O29", "S", Sheet2))</f>
        <v>846</v>
      </c>
      <c r="P29" s="675">
        <f ca="1">INDIRECT(SUBSTITUTE("'S'!P29", "S", Sheet1))                                       +INDIRECT(SUBSTITUTE("'S'!P29", "S", Sheet2))</f>
        <v>68.391152688631593</v>
      </c>
      <c r="Q29" s="675">
        <f ca="1">INDIRECT(SUBSTITUTE("'S'!Q29", "S", Sheet1))                                       +INDIRECT(SUBSTITUTE("'S'!Q29", "S", Sheet2))</f>
        <v>-316925.59999999998</v>
      </c>
      <c r="R29" s="687">
        <f ca="1">INDIRECT(SUBSTITUTE("'S'!R29", "S", Sheet1))                                       +INDIRECT(SUBSTITUTE("'S'!R29", "S", Sheet2))</f>
        <v>-6608.4001378390676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700">
        <f t="shared" si="5"/>
        <v>0.36000000000000004</v>
      </c>
      <c r="L30" s="675">
        <f t="shared" ca="1" si="4"/>
        <v>345.6</v>
      </c>
      <c r="M30" s="709">
        <f ca="1">INDIRECT(SUBSTITUTE("'S'!M30", "S", Sheet1))                                       +INDIRECT(SUBSTITUTE("'S'!M30", "S", Sheet2))</f>
        <v>0</v>
      </c>
      <c r="N30" s="39">
        <f ca="1">INDIRECT(SUBSTITUTE("'S'!N30", "S", Sheet1))                                       +INDIRECT(SUBSTITUTE("'S'!N30", "S", Sheet2))</f>
        <v>-33.540586927748954</v>
      </c>
      <c r="O30" s="675">
        <f ca="1">INDIRECT(SUBSTITUTE("'S'!O30", "S", Sheet1))                                       +INDIRECT(SUBSTITUTE("'S'!O30", "S", Sheet2))</f>
        <v>846</v>
      </c>
      <c r="P30" s="675">
        <f ca="1">INDIRECT(SUBSTITUTE("'S'!P30", "S", Sheet1))                                       +INDIRECT(SUBSTITUTE("'S'!P30", "S", Sheet2))</f>
        <v>68.391152688631593</v>
      </c>
      <c r="Q30" s="675">
        <f ca="1">INDIRECT(SUBSTITUTE("'S'!Q30", "S", Sheet1))                                       +INDIRECT(SUBSTITUTE("'S'!Q30", "S", Sheet2))</f>
        <v>-300682.39999999997</v>
      </c>
      <c r="R30" s="687">
        <f ca="1">INDIRECT(SUBSTITUTE("'S'!R30", "S", Sheet1))                                       +INDIRECT(SUBSTITUTE("'S'!R30", "S", Sheet2))</f>
        <v>-6269.703721017745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700">
        <f t="shared" si="5"/>
        <v>0.38000000000000006</v>
      </c>
      <c r="L31" s="675">
        <f t="shared" ca="1" si="4"/>
        <v>364.80000000000007</v>
      </c>
      <c r="M31" s="709">
        <f ca="1">INDIRECT(SUBSTITUTE("'S'!M31", "S", Sheet1))                                       +INDIRECT(SUBSTITUTE("'S'!M31", "S", Sheet2))</f>
        <v>0</v>
      </c>
      <c r="N31" s="39">
        <f ca="1">INDIRECT(SUBSTITUTE("'S'!N31", "S", Sheet1))                                       +INDIRECT(SUBSTITUTE("'S'!N31", "S", Sheet2))</f>
        <v>-36.962565642238744</v>
      </c>
      <c r="O31" s="675">
        <f ca="1">INDIRECT(SUBSTITUTE("'S'!O31", "S", Sheet1))                                       +INDIRECT(SUBSTITUTE("'S'!O31", "S", Sheet2))</f>
        <v>846</v>
      </c>
      <c r="P31" s="675">
        <f ca="1">INDIRECT(SUBSTITUTE("'S'!P31", "S", Sheet1))                                       +INDIRECT(SUBSTITUTE("'S'!P31", "S", Sheet2))</f>
        <v>68.391152688631593</v>
      </c>
      <c r="Q31" s="675">
        <f ca="1">INDIRECT(SUBSTITUTE("'S'!Q31", "S", Sheet1))                                       +INDIRECT(SUBSTITUTE("'S'!Q31", "S", Sheet2))</f>
        <v>-284439.19999999995</v>
      </c>
      <c r="R31" s="687">
        <f ca="1">INDIRECT(SUBSTITUTE("'S'!R31", "S", Sheet1))                                       +INDIRECT(SUBSTITUTE("'S'!R31", "S", Sheet2))</f>
        <v>-5931.0073041964233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700">
        <f t="shared" si="5"/>
        <v>0.40000000000000008</v>
      </c>
      <c r="L32" s="675">
        <f t="shared" ca="1" si="4"/>
        <v>384.00000000000006</v>
      </c>
      <c r="M32" s="709">
        <f ca="1">INDIRECT(SUBSTITUTE("'S'!M32", "S", Sheet1))                                       +INDIRECT(SUBSTITUTE("'S'!M32", "S", Sheet2))</f>
        <v>0</v>
      </c>
      <c r="N32" s="39">
        <f ca="1">INDIRECT(SUBSTITUTE("'S'!N32", "S", Sheet1))                                       +INDIRECT(SUBSTITUTE("'S'!N32", "S", Sheet2))</f>
        <v>-40.503370798718699</v>
      </c>
      <c r="O32" s="675">
        <f ca="1">INDIRECT(SUBSTITUTE("'S'!O32", "S", Sheet1))                                       +INDIRECT(SUBSTITUTE("'S'!O32", "S", Sheet2))</f>
        <v>846</v>
      </c>
      <c r="P32" s="675">
        <f ca="1">INDIRECT(SUBSTITUTE("'S'!P32", "S", Sheet1))                                       +INDIRECT(SUBSTITUTE("'S'!P32", "S", Sheet2))</f>
        <v>68.391152688631593</v>
      </c>
      <c r="Q32" s="675">
        <f ca="1">INDIRECT(SUBSTITUTE("'S'!Q32", "S", Sheet1))                                       +INDIRECT(SUBSTITUTE("'S'!Q32", "S", Sheet2))</f>
        <v>-268195.99999999994</v>
      </c>
      <c r="R32" s="687">
        <f ca="1">INDIRECT(SUBSTITUTE("'S'!R32", "S", Sheet1))                                       +INDIRECT(SUBSTITUTE("'S'!R32", "S", Sheet2))</f>
        <v>-5592.3108873751007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846</v>
      </c>
      <c r="J33" s="87"/>
      <c r="K33" s="700">
        <f t="shared" si="5"/>
        <v>0.4200000000000001</v>
      </c>
      <c r="L33" s="675">
        <f t="shared" ca="1" si="4"/>
        <v>403.2000000000001</v>
      </c>
      <c r="M33" s="709">
        <f ca="1">INDIRECT(SUBSTITUTE("'S'!M33", "S", Sheet1))                                       +INDIRECT(SUBSTITUTE("'S'!M33", "S", Sheet2))</f>
        <v>0</v>
      </c>
      <c r="N33" s="39">
        <f ca="1">INDIRECT(SUBSTITUTE("'S'!N33", "S", Sheet1))                                       +INDIRECT(SUBSTITUTE("'S'!N33", "S", Sheet2))</f>
        <v>-44.156216688107463</v>
      </c>
      <c r="O33" s="675">
        <f ca="1">INDIRECT(SUBSTITUTE("'S'!O33", "S", Sheet1))                                       +INDIRECT(SUBSTITUTE("'S'!O33", "S", Sheet2))</f>
        <v>846</v>
      </c>
      <c r="P33" s="675">
        <f ca="1">INDIRECT(SUBSTITUTE("'S'!P33", "S", Sheet1))                                       +INDIRECT(SUBSTITUTE("'S'!P33", "S", Sheet2))</f>
        <v>68.391152688631593</v>
      </c>
      <c r="Q33" s="675">
        <f ca="1">INDIRECT(SUBSTITUTE("'S'!Q33", "S", Sheet1))                                       +INDIRECT(SUBSTITUTE("'S'!Q33", "S", Sheet2))</f>
        <v>-251952.79999999993</v>
      </c>
      <c r="R33" s="687">
        <f ca="1">INDIRECT(SUBSTITUTE("'S'!R33", "S", Sheet1))                                       +INDIRECT(SUBSTITUTE("'S'!R33", "S", Sheet2))</f>
        <v>-5253.614470553779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700">
        <f t="shared" si="5"/>
        <v>0.44000000000000011</v>
      </c>
      <c r="L34" s="675">
        <f t="shared" ca="1" si="4"/>
        <v>422.40000000000009</v>
      </c>
      <c r="M34" s="709">
        <f ca="1">INDIRECT(SUBSTITUTE("'S'!M34", "S", Sheet1))                                       +INDIRECT(SUBSTITUTE("'S'!M34", "S", Sheet2))</f>
        <v>0</v>
      </c>
      <c r="N34" s="39">
        <f ca="1">INDIRECT(SUBSTITUTE("'S'!N34", "S", Sheet1))                                       +INDIRECT(SUBSTITUTE("'S'!N34", "S", Sheet2))</f>
        <v>-47.914317601323653</v>
      </c>
      <c r="O34" s="675">
        <f ca="1">INDIRECT(SUBSTITUTE("'S'!O34", "S", Sheet1))                                       +INDIRECT(SUBSTITUTE("'S'!O34", "S", Sheet2))</f>
        <v>846</v>
      </c>
      <c r="P34" s="675">
        <f ca="1">INDIRECT(SUBSTITUTE("'S'!P34", "S", Sheet1))                                       +INDIRECT(SUBSTITUTE("'S'!P34", "S", Sheet2))</f>
        <v>68.391152688631593</v>
      </c>
      <c r="Q34" s="675">
        <f ca="1">INDIRECT(SUBSTITUTE("'S'!Q34", "S", Sheet1))                                       +INDIRECT(SUBSTITUTE("'S'!Q34", "S", Sheet2))</f>
        <v>-235709.59999999992</v>
      </c>
      <c r="R34" s="687">
        <f ca="1">INDIRECT(SUBSTITUTE("'S'!R34", "S", Sheet1))                                       +INDIRECT(SUBSTITUTE("'S'!R34", "S", Sheet2))</f>
        <v>-4914.9180537324564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700">
        <f t="shared" si="5"/>
        <v>0.46000000000000013</v>
      </c>
      <c r="L35" s="675">
        <f t="shared" ca="1" si="4"/>
        <v>441.60000000000014</v>
      </c>
      <c r="M35" s="709">
        <f ca="1">INDIRECT(SUBSTITUTE("'S'!M35", "S", Sheet1))                                       +INDIRECT(SUBSTITUTE("'S'!M35", "S", Sheet2))</f>
        <v>0</v>
      </c>
      <c r="N35" s="39">
        <f ca="1">INDIRECT(SUBSTITUTE("'S'!N35", "S", Sheet1))                                       +INDIRECT(SUBSTITUTE("'S'!N35", "S", Sheet2))</f>
        <v>-51.77088782928594</v>
      </c>
      <c r="O35" s="675">
        <f ca="1">INDIRECT(SUBSTITUTE("'S'!O35", "S", Sheet1))                                       +INDIRECT(SUBSTITUTE("'S'!O35", "S", Sheet2))</f>
        <v>846</v>
      </c>
      <c r="P35" s="675">
        <f ca="1">INDIRECT(SUBSTITUTE("'S'!P35", "S", Sheet1))                                       +INDIRECT(SUBSTITUTE("'S'!P35", "S", Sheet2))</f>
        <v>68.391152688631593</v>
      </c>
      <c r="Q35" s="675">
        <f ca="1">INDIRECT(SUBSTITUTE("'S'!Q35", "S", Sheet1))                                       +INDIRECT(SUBSTITUTE("'S'!Q35", "S", Sheet2))</f>
        <v>-219466.39999999991</v>
      </c>
      <c r="R35" s="687">
        <f ca="1">INDIRECT(SUBSTITUTE("'S'!R35", "S", Sheet1))                                       +INDIRECT(SUBSTITUTE("'S'!R35", "S", Sheet2))</f>
        <v>-4576.2216369111338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700">
        <f t="shared" si="5"/>
        <v>0.48000000000000015</v>
      </c>
      <c r="L36" s="675">
        <f t="shared" ca="1" si="4"/>
        <v>460.80000000000013</v>
      </c>
      <c r="M36" s="709">
        <f ca="1">INDIRECT(SUBSTITUTE("'S'!M36", "S", Sheet1))                                       +INDIRECT(SUBSTITUTE("'S'!M36", "S", Sheet2))</f>
        <v>0</v>
      </c>
      <c r="N36" s="39">
        <f ca="1">INDIRECT(SUBSTITUTE("'S'!N36", "S", Sheet1))                                       +INDIRECT(SUBSTITUTE("'S'!N36", "S", Sheet2))</f>
        <v>-55.719141662912946</v>
      </c>
      <c r="O36" s="675">
        <f ca="1">INDIRECT(SUBSTITUTE("'S'!O36", "S", Sheet1))                                       +INDIRECT(SUBSTITUTE("'S'!O36", "S", Sheet2))</f>
        <v>846</v>
      </c>
      <c r="P36" s="675">
        <f ca="1">INDIRECT(SUBSTITUTE("'S'!P36", "S", Sheet1))                                       +INDIRECT(SUBSTITUTE("'S'!P36", "S", Sheet2))</f>
        <v>68.391152688631593</v>
      </c>
      <c r="Q36" s="675">
        <f ca="1">INDIRECT(SUBSTITUTE("'S'!Q36", "S", Sheet1))                                       +INDIRECT(SUBSTITUTE("'S'!Q36", "S", Sheet2))</f>
        <v>-203223.1999999999</v>
      </c>
      <c r="R36" s="687">
        <f ca="1">INDIRECT(SUBSTITUTE("'S'!R36", "S", Sheet1))                                       +INDIRECT(SUBSTITUTE("'S'!R36", "S", Sheet2))</f>
        <v>-4237.5252200898121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700">
        <f t="shared" si="5"/>
        <v>0.50000000000000011</v>
      </c>
      <c r="L37" s="675">
        <f t="shared" ca="1" si="4"/>
        <v>480.00000000000011</v>
      </c>
      <c r="M37" s="709">
        <f ca="1">INDIRECT(SUBSTITUTE("'S'!M37", "S", Sheet1))                                       +INDIRECT(SUBSTITUTE("'S'!M37", "S", Sheet2))</f>
        <v>0</v>
      </c>
      <c r="N37" s="39">
        <f ca="1">INDIRECT(SUBSTITUTE("'S'!N37", "S", Sheet1))                                       +INDIRECT(SUBSTITUTE("'S'!N37", "S", Sheet2))</f>
        <v>-59.75229339312331</v>
      </c>
      <c r="O37" s="675">
        <f ca="1">INDIRECT(SUBSTITUTE("'S'!O37", "S", Sheet1))                                       +INDIRECT(SUBSTITUTE("'S'!O37", "S", Sheet2))</f>
        <v>846</v>
      </c>
      <c r="P37" s="675">
        <f ca="1">INDIRECT(SUBSTITUTE("'S'!P37", "S", Sheet1))                                       +INDIRECT(SUBSTITUTE("'S'!P37", "S", Sheet2))</f>
        <v>68.391152688631593</v>
      </c>
      <c r="Q37" s="675">
        <f ca="1">INDIRECT(SUBSTITUTE("'S'!Q37", "S", Sheet1))                                       +INDIRECT(SUBSTITUTE("'S'!Q37", "S", Sheet2))</f>
        <v>-186979.99999999988</v>
      </c>
      <c r="R37" s="687">
        <f ca="1">INDIRECT(SUBSTITUTE("'S'!R37", "S", Sheet1))                                       +INDIRECT(SUBSTITUTE("'S'!R37", "S", Sheet2))</f>
        <v>-3898.82880326849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661">
        <f ca="1">O8</f>
        <v>0</v>
      </c>
      <c r="J38" s="87"/>
      <c r="K38" s="700">
        <f t="shared" si="5"/>
        <v>0.52000000000000013</v>
      </c>
      <c r="L38" s="675">
        <f t="shared" ca="1" si="4"/>
        <v>499.2000000000001</v>
      </c>
      <c r="M38" s="709">
        <f ca="1">INDIRECT(SUBSTITUTE("'S'!M38", "S", Sheet1))                                       +INDIRECT(SUBSTITUTE("'S'!M38", "S", Sheet2))</f>
        <v>0</v>
      </c>
      <c r="N38" s="39">
        <f ca="1">INDIRECT(SUBSTITUTE("'S'!N38", "S", Sheet1))                                       +INDIRECT(SUBSTITUTE("'S'!N38", "S", Sheet2))</f>
        <v>-63.863557310835681</v>
      </c>
      <c r="O38" s="675">
        <f ca="1">INDIRECT(SUBSTITUTE("'S'!O38", "S", Sheet1))                                       +INDIRECT(SUBSTITUTE("'S'!O38", "S", Sheet2))</f>
        <v>846</v>
      </c>
      <c r="P38" s="675">
        <f ca="1">INDIRECT(SUBSTITUTE("'S'!P38", "S", Sheet1))                                       +INDIRECT(SUBSTITUTE("'S'!P38", "S", Sheet2))</f>
        <v>68.391152688631593</v>
      </c>
      <c r="Q38" s="675">
        <f ca="1">INDIRECT(SUBSTITUTE("'S'!Q38", "S", Sheet1))                                       +INDIRECT(SUBSTITUTE("'S'!Q38", "S", Sheet2))</f>
        <v>-170736.79999999993</v>
      </c>
      <c r="R38" s="687">
        <f ca="1">INDIRECT(SUBSTITUTE("'S'!R38", "S", Sheet1))                                       +INDIRECT(SUBSTITUTE("'S'!R38", "S", Sheet2))</f>
        <v>-3560.1323864471688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700">
        <f t="shared" si="5"/>
        <v>0.54000000000000015</v>
      </c>
      <c r="L39" s="675">
        <f t="shared" ca="1" si="4"/>
        <v>518.40000000000009</v>
      </c>
      <c r="M39" s="709">
        <f ca="1">INDIRECT(SUBSTITUTE("'S'!M39", "S", Sheet1))                                       +INDIRECT(SUBSTITUTE("'S'!M39", "S", Sheet2))</f>
        <v>0</v>
      </c>
      <c r="N39" s="39">
        <f ca="1">INDIRECT(SUBSTITUTE("'S'!N39", "S", Sheet1))                                       +INDIRECT(SUBSTITUTE("'S'!N39", "S", Sheet2))</f>
        <v>-68.046147706968711</v>
      </c>
      <c r="O39" s="675">
        <f ca="1">INDIRECT(SUBSTITUTE("'S'!O39", "S", Sheet1))                                       +INDIRECT(SUBSTITUTE("'S'!O39", "S", Sheet2))</f>
        <v>846</v>
      </c>
      <c r="P39" s="675">
        <f ca="1">INDIRECT(SUBSTITUTE("'S'!P39", "S", Sheet1))                                       +INDIRECT(SUBSTITUTE("'S'!P39", "S", Sheet2))</f>
        <v>68.391152688631593</v>
      </c>
      <c r="Q39" s="675">
        <f ca="1">INDIRECT(SUBSTITUTE("'S'!Q39", "S", Sheet1))                                       +INDIRECT(SUBSTITUTE("'S'!Q39", "S", Sheet2))</f>
        <v>-154493.59999999992</v>
      </c>
      <c r="R39" s="687">
        <f ca="1">INDIRECT(SUBSTITUTE("'S'!R39", "S", Sheet1))                                       +INDIRECT(SUBSTITUTE("'S'!R39", "S", Sheet2))</f>
        <v>-3221.4359696258471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700">
        <f t="shared" si="5"/>
        <v>0.56000000000000016</v>
      </c>
      <c r="L40" s="675">
        <f t="shared" ca="1" si="4"/>
        <v>537.60000000000014</v>
      </c>
      <c r="M40" s="709">
        <f ca="1">INDIRECT(SUBSTITUTE("'S'!M40", "S", Sheet1))                                       +INDIRECT(SUBSTITUTE("'S'!M40", "S", Sheet2))</f>
        <v>4.7</v>
      </c>
      <c r="N40" s="39">
        <f ca="1">INDIRECT(SUBSTITUTE("'S'!N40", "S", Sheet1))                                       +INDIRECT(SUBSTITUTE("'S'!N40", "S", Sheet2))</f>
        <v>-72.293300166501069</v>
      </c>
      <c r="O40" s="675">
        <f ca="1">INDIRECT(SUBSTITUTE("'S'!O40", "S", Sheet1))                                       +INDIRECT(SUBSTITUTE("'S'!O40", "S", Sheet2))</f>
        <v>763.2799999999994</v>
      </c>
      <c r="P40" s="675">
        <f ca="1">INDIRECT(SUBSTITUTE("'S'!P40", "S", Sheet1))                                       +INDIRECT(SUBSTITUTE("'S'!P40", "S", Sheet2))</f>
        <v>61.704017759076457</v>
      </c>
      <c r="Q40" s="675">
        <f ca="1">INDIRECT(SUBSTITUTE("'S'!Q40", "S", Sheet1))                                       +INDIRECT(SUBSTITUTE("'S'!Q40", "S", Sheet2))</f>
        <v>-138978.33599999992</v>
      </c>
      <c r="R40" s="687">
        <f ca="1">INDIRECT(SUBSTITUTE("'S'!R40", "S", Sheet1))                                       +INDIRECT(SUBSTITUTE("'S'!R40", "S", Sheet2))</f>
        <v>-2897.9181700028139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700">
        <f t="shared" si="5"/>
        <v>0.58000000000000018</v>
      </c>
      <c r="L41" s="675">
        <f t="shared" ca="1" si="4"/>
        <v>556.80000000000018</v>
      </c>
      <c r="M41" s="709">
        <f ca="1">INDIRECT(SUBSTITUTE("'S'!M41", "S", Sheet1))                                       +INDIRECT(SUBSTITUTE("'S'!M41", "S", Sheet2))</f>
        <v>4.7</v>
      </c>
      <c r="N41" s="39">
        <f ca="1">INDIRECT(SUBSTITUTE("'S'!N41", "S", Sheet1))                                       +INDIRECT(SUBSTITUTE("'S'!N41", "S", Sheet2))</f>
        <v>-76.59857210254691</v>
      </c>
      <c r="O41" s="675">
        <f ca="1">INDIRECT(SUBSTITUTE("'S'!O41", "S", Sheet1))                                       +INDIRECT(SUBSTITUTE("'S'!O41", "S", Sheet2))</f>
        <v>673.03999999999917</v>
      </c>
      <c r="P41" s="675">
        <f ca="1">INDIRECT(SUBSTITUTE("'S'!P41", "S", Sheet1))                                       +INDIRECT(SUBSTITUTE("'S'!P41", "S", Sheet2))</f>
        <v>54.408961472289072</v>
      </c>
      <c r="Q41" s="675">
        <f ca="1">INDIRECT(SUBSTITUTE("'S'!Q41", "S", Sheet1))                                       +INDIRECT(SUBSTITUTE("'S'!Q41", "S", Sheet2))</f>
        <v>-125189.66399999987</v>
      </c>
      <c r="R41" s="687">
        <f ca="1">INDIRECT(SUBSTITUTE("'S'!R41", "S", Sheet1))                                       +INDIRECT(SUBSTITUTE("'S'!R41", "S", Sheet2))</f>
        <v>-2610.4025450567128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700">
        <f t="shared" si="5"/>
        <v>0.6000000000000002</v>
      </c>
      <c r="L42" s="675">
        <f t="shared" ca="1" si="4"/>
        <v>576.00000000000023</v>
      </c>
      <c r="M42" s="709">
        <f ca="1">INDIRECT(SUBSTITUTE("'S'!M42", "S", Sheet1))                                       +INDIRECT(SUBSTITUTE("'S'!M42", "S", Sheet2))</f>
        <v>4.7</v>
      </c>
      <c r="N42" s="39">
        <f ca="1">INDIRECT(SUBSTITUTE("'S'!N42", "S", Sheet1))                                       +INDIRECT(SUBSTITUTE("'S'!N42", "S", Sheet2))</f>
        <v>-80.956203203518186</v>
      </c>
      <c r="O42" s="675">
        <f ca="1">INDIRECT(SUBSTITUTE("'S'!O42", "S", Sheet1))                                       +INDIRECT(SUBSTITUTE("'S'!O42", "S", Sheet2))</f>
        <v>582.79999999999893</v>
      </c>
      <c r="P42" s="675">
        <f ca="1">INDIRECT(SUBSTITUTE("'S'!P42", "S", Sheet1))                                       +INDIRECT(SUBSTITUTE("'S'!P42", "S", Sheet2))</f>
        <v>47.113905185501679</v>
      </c>
      <c r="Q42" s="675">
        <f ca="1">INDIRECT(SUBSTITUTE("'S'!Q42", "S", Sheet1))                                       +INDIRECT(SUBSTITUTE("'S'!Q42", "S", Sheet2))</f>
        <v>-113133.59999999989</v>
      </c>
      <c r="R42" s="687">
        <f ca="1">INDIRECT(SUBSTITUTE("'S'!R42", "S", Sheet1))                                       +INDIRECT(SUBSTITUTE("'S'!R42", "S", Sheet2))</f>
        <v>-2359.0145379048877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661">
        <f ca="1">Q9</f>
        <v>0</v>
      </c>
      <c r="J43" s="87"/>
      <c r="K43" s="700">
        <f t="shared" si="5"/>
        <v>0.62000000000000022</v>
      </c>
      <c r="L43" s="675">
        <f t="shared" ca="1" si="4"/>
        <v>595.20000000000016</v>
      </c>
      <c r="M43" s="709">
        <f ca="1">INDIRECT(SUBSTITUTE("'S'!M43", "S", Sheet1))                                       +INDIRECT(SUBSTITUTE("'S'!M43", "S", Sheet2))</f>
        <v>4.7</v>
      </c>
      <c r="N43" s="39">
        <f ca="1">INDIRECT(SUBSTITUTE("'S'!N43", "S", Sheet1))                                       +INDIRECT(SUBSTITUTE("'S'!N43", "S", Sheet2))</f>
        <v>-85.361156965341209</v>
      </c>
      <c r="O43" s="675">
        <f ca="1">INDIRECT(SUBSTITUTE("'S'!O43", "S", Sheet1))                                       +INDIRECT(SUBSTITUTE("'S'!O43", "S", Sheet2))</f>
        <v>492.55999999999926</v>
      </c>
      <c r="P43" s="675">
        <f ca="1">INDIRECT(SUBSTITUTE("'S'!P43", "S", Sheet1))                                       +INDIRECT(SUBSTITUTE("'S'!P43", "S", Sheet2))</f>
        <v>39.818848898714336</v>
      </c>
      <c r="Q43" s="675">
        <f ca="1">INDIRECT(SUBSTITUTE("'S'!Q43", "S", Sheet1))                                       +INDIRECT(SUBSTITUTE("'S'!Q43", "S", Sheet2))</f>
        <v>-102810.14399999993</v>
      </c>
      <c r="R43" s="687">
        <f ca="1">INDIRECT(SUBSTITUTE("'S'!R43", "S", Sheet1))                                       +INDIRECT(SUBSTITUTE("'S'!R43", "S", Sheet2))</f>
        <v>-2143.7541485473371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700">
        <f t="shared" si="5"/>
        <v>0.64000000000000024</v>
      </c>
      <c r="L44" s="675">
        <f t="shared" ref="L44:L62" ca="1" si="6">L*K44</f>
        <v>614.4000000000002</v>
      </c>
      <c r="M44" s="709">
        <f ca="1">INDIRECT(SUBSTITUTE("'S'!M44", "S", Sheet1))                                       +INDIRECT(SUBSTITUTE("'S'!M44", "S", Sheet2))</f>
        <v>4.7</v>
      </c>
      <c r="N44" s="39">
        <f ca="1">INDIRECT(SUBSTITUTE("'S'!N44", "S", Sheet1))                                       +INDIRECT(SUBSTITUTE("'S'!N44", "S", Sheet2))</f>
        <v>-89.808276022521582</v>
      </c>
      <c r="O44" s="675">
        <f ca="1">INDIRECT(SUBSTITUTE("'S'!O44", "S", Sheet1))                                       +INDIRECT(SUBSTITUTE("'S'!O44", "S", Sheet2))</f>
        <v>402.31999999999903</v>
      </c>
      <c r="P44" s="675">
        <f ca="1">INDIRECT(SUBSTITUTE("'S'!P44", "S", Sheet1))                                       +INDIRECT(SUBSTITUTE("'S'!P44", "S", Sheet2))</f>
        <v>32.523792611926943</v>
      </c>
      <c r="Q44" s="675">
        <f ca="1">INDIRECT(SUBSTITUTE("'S'!Q44", "S", Sheet1))                                       +INDIRECT(SUBSTITUTE("'S'!Q44", "S", Sheet2))</f>
        <v>-17219.295999999893</v>
      </c>
      <c r="R44" s="687">
        <f ca="1">INDIRECT(SUBSTITUTE("'S'!R44", "S", Sheet1))                                       +INDIRECT(SUBSTITUTE("'S'!R44", "S", Sheet2))</f>
        <v>-359.04956260993436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700">
        <f t="shared" ref="K45:K62" si="7">K44+0.02</f>
        <v>0.66000000000000025</v>
      </c>
      <c r="L45" s="675">
        <f t="shared" ca="1" si="6"/>
        <v>633.60000000000025</v>
      </c>
      <c r="M45" s="709">
        <f ca="1">INDIRECT(SUBSTITUTE("'S'!M45", "S", Sheet1))                                       +INDIRECT(SUBSTITUTE("'S'!M45", "S", Sheet2))</f>
        <v>4.7</v>
      </c>
      <c r="N45" s="39">
        <f ca="1">INDIRECT(SUBSTITUTE("'S'!N45", "S", Sheet1))                                       +INDIRECT(SUBSTITUTE("'S'!N45", "S", Sheet2))</f>
        <v>-94.27220551971773</v>
      </c>
      <c r="O45" s="675">
        <f ca="1">INDIRECT(SUBSTITUTE("'S'!O45", "S", Sheet1))                                       +INDIRECT(SUBSTITUTE("'S'!O45", "S", Sheet2))</f>
        <v>312.07999999999879</v>
      </c>
      <c r="P45" s="675">
        <f ca="1">INDIRECT(SUBSTITUTE("'S'!P45", "S", Sheet1))                                       +INDIRECT(SUBSTITUTE("'S'!P45", "S", Sheet2))</f>
        <v>25.228736325139558</v>
      </c>
      <c r="Q45" s="675">
        <f ca="1">INDIRECT(SUBSTITUTE("'S'!Q45", "S", Sheet1))                                       +INDIRECT(SUBSTITUTE("'S'!Q45", "S", Sheet2))</f>
        <v>-10361.055999999928</v>
      </c>
      <c r="R45" s="687">
        <f ca="1">INDIRECT(SUBSTITUTE("'S'!R45", "S", Sheet1))                                       +INDIRECT(SUBSTITUTE("'S'!R45", "S", Sheet2))</f>
        <v>-216.04440884093248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700">
        <f t="shared" si="7"/>
        <v>0.68000000000000027</v>
      </c>
      <c r="L46" s="675">
        <f t="shared" ca="1" si="6"/>
        <v>652.8000000000003</v>
      </c>
      <c r="M46" s="709">
        <f ca="1">INDIRECT(SUBSTITUTE("'S'!M46", "S", Sheet1))                                       +INDIRECT(SUBSTITUTE("'S'!M46", "S", Sheet2))</f>
        <v>4.7</v>
      </c>
      <c r="N46" s="39">
        <f ca="1">INDIRECT(SUBSTITUTE("'S'!N46", "S", Sheet1))                                       +INDIRECT(SUBSTITUTE("'S'!N46", "S", Sheet2))</f>
        <v>-98.740523737092872</v>
      </c>
      <c r="O46" s="675">
        <f ca="1">INDIRECT(SUBSTITUTE("'S'!O46", "S", Sheet1))                                       +INDIRECT(SUBSTITUTE("'S'!O46", "S", Sheet2))</f>
        <v>221.83999999999855</v>
      </c>
      <c r="P46" s="675">
        <f ca="1">INDIRECT(SUBSTITUTE("'S'!P46", "S", Sheet1))                                       +INDIRECT(SUBSTITUTE("'S'!P46", "S", Sheet2))</f>
        <v>17.933680038352168</v>
      </c>
      <c r="Q46" s="675">
        <f ca="1">INDIRECT(SUBSTITUTE("'S'!Q46", "S", Sheet1))                                       +INDIRECT(SUBSTITUTE("'S'!Q46", "S", Sheet2))</f>
        <v>-5235.4239999999118</v>
      </c>
      <c r="R46" s="687">
        <f ca="1">INDIRECT(SUBSTITUTE("'S'!R46", "S", Sheet1))                                       +INDIRECT(SUBSTITUTE("'S'!R46", "S", Sheet2))</f>
        <v>-109.16687286620387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700">
        <f t="shared" si="7"/>
        <v>0.70000000000000029</v>
      </c>
      <c r="L47" s="675">
        <f t="shared" ca="1" si="6"/>
        <v>672.00000000000023</v>
      </c>
      <c r="M47" s="709">
        <f ca="1">INDIRECT(SUBSTITUTE("'S'!M47", "S", Sheet1))                                       +INDIRECT(SUBSTITUTE("'S'!M47", "S", Sheet2))</f>
        <v>4.7</v>
      </c>
      <c r="N47" s="39">
        <f ca="1">INDIRECT(SUBSTITUTE("'S'!N47", "S", Sheet1))                                       +INDIRECT(SUBSTITUTE("'S'!N47", "S", Sheet2))</f>
        <v>-103.21108940644797</v>
      </c>
      <c r="O47" s="675">
        <f ca="1">INDIRECT(SUBSTITUTE("'S'!O47", "S", Sheet1))                                       +INDIRECT(SUBSTITUTE("'S'!O47", "S", Sheet2))</f>
        <v>131.59999999999889</v>
      </c>
      <c r="P47" s="675">
        <f ca="1">INDIRECT(SUBSTITUTE("'S'!P47", "S", Sheet1))                                       +INDIRECT(SUBSTITUTE("'S'!P47", "S", Sheet2))</f>
        <v>10.638623751564825</v>
      </c>
      <c r="Q47" s="675">
        <f ca="1">INDIRECT(SUBSTITUTE("'S'!Q47", "S", Sheet1))                                       +INDIRECT(SUBSTITUTE("'S'!Q47", "S", Sheet2))</f>
        <v>-1842.3999999999287</v>
      </c>
      <c r="R47" s="687">
        <f ca="1">INDIRECT(SUBSTITUTE("'S'!R47", "S", Sheet1))                                       +INDIRECT(SUBSTITUTE("'S'!R47", "S", Sheet2))</f>
        <v>-38.416954685750305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-593060</v>
      </c>
      <c r="J48" s="87"/>
      <c r="K48" s="700">
        <f t="shared" si="7"/>
        <v>0.72000000000000031</v>
      </c>
      <c r="L48" s="675">
        <f t="shared" ca="1" si="6"/>
        <v>691.20000000000027</v>
      </c>
      <c r="M48" s="709">
        <f ca="1">INDIRECT(SUBSTITUTE("'S'!M48", "S", Sheet1))                                       +INDIRECT(SUBSTITUTE("'S'!M48", "S", Sheet2))</f>
        <v>4.7</v>
      </c>
      <c r="N48" s="39">
        <f ca="1">INDIRECT(SUBSTITUTE("'S'!N48", "S", Sheet1))                                       +INDIRECT(SUBSTITUTE("'S'!N48", "S", Sheet2))</f>
        <v>-107.68248506855281</v>
      </c>
      <c r="O48" s="675">
        <f ca="1">INDIRECT(SUBSTITUTE("'S'!O48", "S", Sheet1))                                       +INDIRECT(SUBSTITUTE("'S'!O48", "S", Sheet2))</f>
        <v>41.359999999998649</v>
      </c>
      <c r="P48" s="675">
        <f ca="1">INDIRECT(SUBSTITUTE("'S'!P48", "S", Sheet1))                                       +INDIRECT(SUBSTITUTE("'S'!P48", "S", Sheet2))</f>
        <v>3.3435674647774354</v>
      </c>
      <c r="Q48" s="675">
        <f ca="1">INDIRECT(SUBSTITUTE("'S'!Q48", "S", Sheet1))                                       +INDIRECT(SUBSTITUTE("'S'!Q48", "S", Sheet2))</f>
        <v>-181.9840000000404</v>
      </c>
      <c r="R48" s="687">
        <f ca="1">INDIRECT(SUBSTITUTE("'S'!R48", "S", Sheet1))                                       +INDIRECT(SUBSTITUTE("'S'!R48", "S", Sheet2))</f>
        <v>-3.7946542995730606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700">
        <f t="shared" si="7"/>
        <v>0.74000000000000032</v>
      </c>
      <c r="L49" s="675">
        <f t="shared" ca="1" si="6"/>
        <v>710.40000000000032</v>
      </c>
      <c r="M49" s="709">
        <f ca="1">INDIRECT(SUBSTITUTE("'S'!M49", "S", Sheet1))                                       +INDIRECT(SUBSTITUTE("'S'!M49", "S", Sheet2))</f>
        <v>0</v>
      </c>
      <c r="N49" s="39">
        <f ca="1">INDIRECT(SUBSTITUTE("'S'!N49", "S", Sheet1))                                       +INDIRECT(SUBSTITUTE("'S'!N49", "S", Sheet2))</f>
        <v>-112.15401447692761</v>
      </c>
      <c r="O49" s="675">
        <f ca="1">INDIRECT(SUBSTITUTE("'S'!O49", "S", Sheet1))                                       +INDIRECT(SUBSTITUTE("'S'!O49", "S", Sheet2))</f>
        <v>0</v>
      </c>
      <c r="P49" s="675">
        <f ca="1">INDIRECT(SUBSTITUTE("'S'!P49", "S", Sheet1))                                       +INDIRECT(SUBSTITUTE("'S'!P49", "S", Sheet2))</f>
        <v>0</v>
      </c>
      <c r="Q49" s="675">
        <f ca="1">INDIRECT(SUBSTITUTE("'S'!Q49", "S", Sheet1))                                       +INDIRECT(SUBSTITUTE("'S'!Q49", "S", Sheet2))</f>
        <v>0</v>
      </c>
      <c r="R49" s="687">
        <f ca="1">INDIRECT(SUBSTITUTE("'S'!R49", "S", Sheet1))                                       +INDIRECT(SUBSTITUTE("'S'!R49", "S", Sheet2))</f>
        <v>0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700">
        <f t="shared" si="7"/>
        <v>0.76000000000000034</v>
      </c>
      <c r="L50" s="675">
        <f t="shared" ca="1" si="6"/>
        <v>729.60000000000036</v>
      </c>
      <c r="M50" s="709">
        <f ca="1">INDIRECT(SUBSTITUTE("'S'!M50", "S", Sheet1))                                       +INDIRECT(SUBSTITUTE("'S'!M50", "S", Sheet2))</f>
        <v>0</v>
      </c>
      <c r="N50" s="39">
        <f ca="1">INDIRECT(SUBSTITUTE("'S'!N50", "S", Sheet1))                                       +INDIRECT(SUBSTITUTE("'S'!N50", "S", Sheet2))</f>
        <v>-116.62554521618117</v>
      </c>
      <c r="O50" s="675">
        <f ca="1">INDIRECT(SUBSTITUTE("'S'!O50", "S", Sheet1))                                       +INDIRECT(SUBSTITUTE("'S'!O50", "S", Sheet2))</f>
        <v>0</v>
      </c>
      <c r="P50" s="675">
        <f ca="1">INDIRECT(SUBSTITUTE("'S'!P50", "S", Sheet1))                                       +INDIRECT(SUBSTITUTE("'S'!P50", "S", Sheet2))</f>
        <v>0</v>
      </c>
      <c r="Q50" s="675">
        <f ca="1">INDIRECT(SUBSTITUTE("'S'!Q50", "S", Sheet1))                                       +INDIRECT(SUBSTITUTE("'S'!Q50", "S", Sheet2))</f>
        <v>0</v>
      </c>
      <c r="R50" s="687">
        <f ca="1">INDIRECT(SUBSTITUTE("'S'!R50", "S", Sheet1))                                       +INDIRECT(SUBSTITUTE("'S'!R50", "S", Sheet2))</f>
        <v>0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700">
        <f t="shared" si="7"/>
        <v>0.78000000000000036</v>
      </c>
      <c r="L51" s="675">
        <f t="shared" ca="1" si="6"/>
        <v>748.8000000000003</v>
      </c>
      <c r="M51" s="709">
        <f ca="1">INDIRECT(SUBSTITUTE("'S'!M51", "S", Sheet1))                                       +INDIRECT(SUBSTITUTE("'S'!M51", "S", Sheet2))</f>
        <v>0</v>
      </c>
      <c r="N51" s="39">
        <f ca="1">INDIRECT(SUBSTITUTE("'S'!N51", "S", Sheet1))                                       +INDIRECT(SUBSTITUTE("'S'!N51", "S", Sheet2))</f>
        <v>-121.09707595543473</v>
      </c>
      <c r="O51" s="675">
        <f ca="1">INDIRECT(SUBSTITUTE("'S'!O51", "S", Sheet1))                                       +INDIRECT(SUBSTITUTE("'S'!O51", "S", Sheet2))</f>
        <v>0</v>
      </c>
      <c r="P51" s="675">
        <f ca="1">INDIRECT(SUBSTITUTE("'S'!P51", "S", Sheet1))                                       +INDIRECT(SUBSTITUTE("'S'!P51", "S", Sheet2))</f>
        <v>0</v>
      </c>
      <c r="Q51" s="675">
        <f ca="1">INDIRECT(SUBSTITUTE("'S'!Q51", "S", Sheet1))                                       +INDIRECT(SUBSTITUTE("'S'!Q51", "S", Sheet2))</f>
        <v>0</v>
      </c>
      <c r="R51" s="687">
        <f ca="1">INDIRECT(SUBSTITUTE("'S'!R51", "S", Sheet1))                                       +INDIRECT(SUBSTITUTE("'S'!R51", "S", Sheet2))</f>
        <v>0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700">
        <f t="shared" si="7"/>
        <v>0.80000000000000038</v>
      </c>
      <c r="L52" s="675">
        <f t="shared" ca="1" si="6"/>
        <v>768.00000000000034</v>
      </c>
      <c r="M52" s="709">
        <f ca="1">INDIRECT(SUBSTITUTE("'S'!M52", "S", Sheet1))                                       +INDIRECT(SUBSTITUTE("'S'!M52", "S", Sheet2))</f>
        <v>0</v>
      </c>
      <c r="N52" s="39">
        <f ca="1">INDIRECT(SUBSTITUTE("'S'!N52", "S", Sheet1))                                       +INDIRECT(SUBSTITUTE("'S'!N52", "S", Sheet2))</f>
        <v>-125.5686066946883</v>
      </c>
      <c r="O52" s="675">
        <f ca="1">INDIRECT(SUBSTITUTE("'S'!O52", "S", Sheet1))                                       +INDIRECT(SUBSTITUTE("'S'!O52", "S", Sheet2))</f>
        <v>0</v>
      </c>
      <c r="P52" s="675">
        <f ca="1">INDIRECT(SUBSTITUTE("'S'!P52", "S", Sheet1))                                       +INDIRECT(SUBSTITUTE("'S'!P52", "S", Sheet2))</f>
        <v>0</v>
      </c>
      <c r="Q52" s="675">
        <f ca="1">INDIRECT(SUBSTITUTE("'S'!Q52", "S", Sheet1))                                       +INDIRECT(SUBSTITUTE("'S'!Q52", "S", Sheet2))</f>
        <v>0</v>
      </c>
      <c r="R52" s="687">
        <f ca="1">INDIRECT(SUBSTITUTE("'S'!R52", "S", Sheet1))                                       +INDIRECT(SUBSTITUTE("'S'!R52", "S", Sheet2))</f>
        <v>0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700">
        <f t="shared" si="7"/>
        <v>0.8200000000000004</v>
      </c>
      <c r="L53" s="675">
        <f t="shared" ca="1" si="6"/>
        <v>787.20000000000039</v>
      </c>
      <c r="M53" s="709">
        <f ca="1">INDIRECT(SUBSTITUTE("'S'!M53", "S", Sheet1))                                       +INDIRECT(SUBSTITUTE("'S'!M53", "S", Sheet2))</f>
        <v>0</v>
      </c>
      <c r="N53" s="39">
        <f ca="1">INDIRECT(SUBSTITUTE("'S'!N53", "S", Sheet1))                                       +INDIRECT(SUBSTITUTE("'S'!N53", "S", Sheet2))</f>
        <v>-130.04013743394185</v>
      </c>
      <c r="O53" s="675">
        <f ca="1">INDIRECT(SUBSTITUTE("'S'!O53", "S", Sheet1))                                       +INDIRECT(SUBSTITUTE("'S'!O53", "S", Sheet2))</f>
        <v>0</v>
      </c>
      <c r="P53" s="675">
        <f ca="1">INDIRECT(SUBSTITUTE("'S'!P53", "S", Sheet1))                                       +INDIRECT(SUBSTITUTE("'S'!P53", "S", Sheet2))</f>
        <v>0</v>
      </c>
      <c r="Q53" s="675">
        <f ca="1">INDIRECT(SUBSTITUTE("'S'!Q53", "S", Sheet1))                                       +INDIRECT(SUBSTITUTE("'S'!Q53", "S", Sheet2))</f>
        <v>0</v>
      </c>
      <c r="R53" s="687">
        <f ca="1">INDIRECT(SUBSTITUTE("'S'!R53", "S", Sheet1))                                       +INDIRECT(SUBSTITUTE("'S'!R53", "S", Sheet2))</f>
        <v>0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700">
        <f t="shared" si="7"/>
        <v>0.84000000000000041</v>
      </c>
      <c r="L54" s="675">
        <f t="shared" ca="1" si="6"/>
        <v>806.40000000000043</v>
      </c>
      <c r="M54" s="709">
        <f ca="1">INDIRECT(SUBSTITUTE("'S'!M54", "S", Sheet1))                                       +INDIRECT(SUBSTITUTE("'S'!M54", "S", Sheet2))</f>
        <v>0</v>
      </c>
      <c r="N54" s="39">
        <f ca="1">INDIRECT(SUBSTITUTE("'S'!N54", "S", Sheet1))                                       +INDIRECT(SUBSTITUTE("'S'!N54", "S", Sheet2))</f>
        <v>-134.5116681731954</v>
      </c>
      <c r="O54" s="675">
        <f ca="1">INDIRECT(SUBSTITUTE("'S'!O54", "S", Sheet1))                                       +INDIRECT(SUBSTITUTE("'S'!O54", "S", Sheet2))</f>
        <v>0</v>
      </c>
      <c r="P54" s="675">
        <f ca="1">INDIRECT(SUBSTITUTE("'S'!P54", "S", Sheet1))                                       +INDIRECT(SUBSTITUTE("'S'!P54", "S", Sheet2))</f>
        <v>0</v>
      </c>
      <c r="Q54" s="675">
        <f ca="1">INDIRECT(SUBSTITUTE("'S'!Q54", "S", Sheet1))                                       +INDIRECT(SUBSTITUTE("'S'!Q54", "S", Sheet2))</f>
        <v>0</v>
      </c>
      <c r="R54" s="687">
        <f ca="1">INDIRECT(SUBSTITUTE("'S'!R54", "S", Sheet1))                                       +INDIRECT(SUBSTITUTE("'S'!R54", "S", Sheet2))</f>
        <v>0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700">
        <f t="shared" si="7"/>
        <v>0.86000000000000043</v>
      </c>
      <c r="L55" s="675">
        <f t="shared" ca="1" si="6"/>
        <v>825.60000000000036</v>
      </c>
      <c r="M55" s="709">
        <f ca="1">INDIRECT(SUBSTITUTE("'S'!M55", "S", Sheet1))                                       +INDIRECT(SUBSTITUTE("'S'!M55", "S", Sheet2))</f>
        <v>0</v>
      </c>
      <c r="N55" s="39">
        <f ca="1">INDIRECT(SUBSTITUTE("'S'!N55", "S", Sheet1))                                       +INDIRECT(SUBSTITUTE("'S'!N55", "S", Sheet2))</f>
        <v>-138.98319891244898</v>
      </c>
      <c r="O55" s="675">
        <f ca="1">INDIRECT(SUBSTITUTE("'S'!O55", "S", Sheet1))                                       +INDIRECT(SUBSTITUTE("'S'!O55", "S", Sheet2))</f>
        <v>0</v>
      </c>
      <c r="P55" s="675">
        <f ca="1">INDIRECT(SUBSTITUTE("'S'!P55", "S", Sheet1))                                       +INDIRECT(SUBSTITUTE("'S'!P55", "S", Sheet2))</f>
        <v>0</v>
      </c>
      <c r="Q55" s="675">
        <f ca="1">INDIRECT(SUBSTITUTE("'S'!Q55", "S", Sheet1))                                       +INDIRECT(SUBSTITUTE("'S'!Q55", "S", Sheet2))</f>
        <v>0</v>
      </c>
      <c r="R55" s="687">
        <f ca="1">INDIRECT(SUBSTITUTE("'S'!R55", "S", Sheet1))                                       +INDIRECT(SUBSTITUTE("'S'!R55", "S", Sheet2))</f>
        <v>0</v>
      </c>
    </row>
    <row r="56" spans="1:18">
      <c r="A56" s="45"/>
      <c r="B56" s="45"/>
      <c r="C56" s="45"/>
      <c r="D56" s="129" t="s">
        <v>326</v>
      </c>
      <c r="E56" s="130">
        <f ca="1">((-(b^2)/2 + b^3/(3*L))*Ra + ((b - L)^3*Rb)/(3*L) +  ((-a+ b)^3*(-a - 3*b + 4*L)*wb)/(24*L) +  ((-a + b)^3*(-4*a^2 - 12*a*b - 4*b^2 + 15*a*L + 5*b*L)*wm)  /(120*L))/(E*Ix)</f>
        <v>0</v>
      </c>
      <c r="F56" s="45"/>
      <c r="G56" s="45"/>
      <c r="H56" s="45"/>
      <c r="I56" s="45"/>
      <c r="J56" s="87"/>
      <c r="K56" s="700">
        <f t="shared" si="7"/>
        <v>0.88000000000000045</v>
      </c>
      <c r="L56" s="675">
        <f t="shared" ca="1" si="6"/>
        <v>844.80000000000041</v>
      </c>
      <c r="M56" s="709">
        <f ca="1">INDIRECT(SUBSTITUTE("'S'!M56", "S", Sheet1))                                       +INDIRECT(SUBSTITUTE("'S'!M56", "S", Sheet2))</f>
        <v>0</v>
      </c>
      <c r="N56" s="39">
        <f ca="1">INDIRECT(SUBSTITUTE("'S'!N56", "S", Sheet1))                                       +INDIRECT(SUBSTITUTE("'S'!N56", "S", Sheet2))</f>
        <v>-143.45472965170254</v>
      </c>
      <c r="O56" s="675">
        <f ca="1">INDIRECT(SUBSTITUTE("'S'!O56", "S", Sheet1))                                       +INDIRECT(SUBSTITUTE("'S'!O56", "S", Sheet2))</f>
        <v>0</v>
      </c>
      <c r="P56" s="675">
        <f ca="1">INDIRECT(SUBSTITUTE("'S'!P56", "S", Sheet1))                                       +INDIRECT(SUBSTITUTE("'S'!P56", "S", Sheet2))</f>
        <v>0</v>
      </c>
      <c r="Q56" s="675">
        <f ca="1">INDIRECT(SUBSTITUTE("'S'!Q56", "S", Sheet1))                                       +INDIRECT(SUBSTITUTE("'S'!Q56", "S", Sheet2))</f>
        <v>0</v>
      </c>
      <c r="R56" s="687">
        <f ca="1">INDIRECT(SUBSTITUTE("'S'!R56", "S", Sheet1))                                       +INDIRECT(SUBSTITUTE("'S'!R56", "S", Sheet2))</f>
        <v>0</v>
      </c>
    </row>
    <row r="57" spans="1:18">
      <c r="A57" s="45"/>
      <c r="B57" s="45"/>
      <c r="C57" s="45"/>
      <c r="D57" s="129" t="s">
        <v>327</v>
      </c>
      <c r="E57" s="130">
        <f xml:space="preserve"> 0</f>
        <v>0</v>
      </c>
      <c r="F57" s="45"/>
      <c r="G57" s="45"/>
      <c r="H57" s="45"/>
      <c r="I57" s="45"/>
      <c r="J57" s="87"/>
      <c r="K57" s="700">
        <f t="shared" si="7"/>
        <v>0.90000000000000047</v>
      </c>
      <c r="L57" s="675">
        <f t="shared" ca="1" si="6"/>
        <v>864.00000000000045</v>
      </c>
      <c r="M57" s="709">
        <f ca="1">INDIRECT(SUBSTITUTE("'S'!M57", "S", Sheet1))                                       +INDIRECT(SUBSTITUTE("'S'!M57", "S", Sheet2))</f>
        <v>0</v>
      </c>
      <c r="N57" s="39">
        <f ca="1">INDIRECT(SUBSTITUTE("'S'!N57", "S", Sheet1))                                       +INDIRECT(SUBSTITUTE("'S'!N57", "S", Sheet2))</f>
        <v>-147.92626039095609</v>
      </c>
      <c r="O57" s="675">
        <f ca="1">INDIRECT(SUBSTITUTE("'S'!O57", "S", Sheet1))                                       +INDIRECT(SUBSTITUTE("'S'!O57", "S", Sheet2))</f>
        <v>0</v>
      </c>
      <c r="P57" s="675">
        <f ca="1">INDIRECT(SUBSTITUTE("'S'!P57", "S", Sheet1))                                       +INDIRECT(SUBSTITUTE("'S'!P57", "S", Sheet2))</f>
        <v>0</v>
      </c>
      <c r="Q57" s="675">
        <f ca="1">INDIRECT(SUBSTITUTE("'S'!Q57", "S", Sheet1))                                       +INDIRECT(SUBSTITUTE("'S'!Q57", "S", Sheet2))</f>
        <v>0</v>
      </c>
      <c r="R57" s="687">
        <f ca="1">INDIRECT(SUBSTITUTE("'S'!R57", "S", Sheet1))                                       +INDIRECT(SUBSTITUTE("'S'!R57", "S", Sheet2))</f>
        <v>0</v>
      </c>
    </row>
    <row r="58" spans="1:18">
      <c r="A58" s="45"/>
      <c r="B58" s="45"/>
      <c r="C58" s="45"/>
      <c r="D58" s="129" t="s">
        <v>328</v>
      </c>
      <c r="E58" s="130">
        <f ca="1">((-(b^2)/2 + b^3/(3*L))*Ra + ((b - L)^3*Rb)/(3*L) +  ((a^4 - 6*a^2*b^2 + 8*a*b^3 - 3*b^4 + 12*a^2*b*L - 12*a*b^2*L +  4*b^3*L)*wb)/(24*L) + ((4*a^5 - 20*a^3*b^2 + 20*a^2*b^3 - 4*b^5  + 40*a^3*b*L - 30*a^2*b^2*L + 5*b^4*L)*wm)/(120*L))/(E*Ix)</f>
        <v>0</v>
      </c>
      <c r="F58" s="45"/>
      <c r="G58" s="45"/>
      <c r="H58" s="45"/>
      <c r="I58" s="45"/>
      <c r="J58" s="87"/>
      <c r="K58" s="700">
        <f t="shared" si="7"/>
        <v>0.92000000000000048</v>
      </c>
      <c r="L58" s="675">
        <f t="shared" ca="1" si="6"/>
        <v>883.2000000000005</v>
      </c>
      <c r="M58" s="709">
        <f ca="1">INDIRECT(SUBSTITUTE("'S'!M58", "S", Sheet1))                                       +INDIRECT(SUBSTITUTE("'S'!M58", "S", Sheet2))</f>
        <v>0</v>
      </c>
      <c r="N58" s="39">
        <f ca="1">INDIRECT(SUBSTITUTE("'S'!N58", "S", Sheet1))                                       +INDIRECT(SUBSTITUTE("'S'!N58", "S", Sheet2))</f>
        <v>-152.3977911302097</v>
      </c>
      <c r="O58" s="675">
        <f ca="1">INDIRECT(SUBSTITUTE("'S'!O58", "S", Sheet1))                                       +INDIRECT(SUBSTITUTE("'S'!O58", "S", Sheet2))</f>
        <v>0</v>
      </c>
      <c r="P58" s="675">
        <f ca="1">INDIRECT(SUBSTITUTE("'S'!P58", "S", Sheet1))                                       +INDIRECT(SUBSTITUTE("'S'!P58", "S", Sheet2))</f>
        <v>0</v>
      </c>
      <c r="Q58" s="675">
        <f ca="1">INDIRECT(SUBSTITUTE("'S'!Q58", "S", Sheet1))                                       +INDIRECT(SUBSTITUTE("'S'!Q58", "S", Sheet2))</f>
        <v>0</v>
      </c>
      <c r="R58" s="687">
        <f ca="1">INDIRECT(SUBSTITUTE("'S'!R58", "S", Sheet1))                                       +INDIRECT(SUBSTITUTE("'S'!R58", "S", Sheet2))</f>
        <v>0</v>
      </c>
    </row>
    <row r="59" spans="1:18" ht="15">
      <c r="A59" s="45"/>
      <c r="B59" s="45"/>
      <c r="C59" s="131"/>
      <c r="D59" s="129" t="s">
        <v>342</v>
      </c>
      <c r="E59" s="130">
        <f>(-(a^4*wb)/24 - (a^5*wm)/30)/(E*Ix)</f>
        <v>0</v>
      </c>
      <c r="F59" s="45"/>
      <c r="G59" s="45"/>
      <c r="H59" s="45"/>
      <c r="I59" s="45"/>
      <c r="J59" s="87"/>
      <c r="K59" s="700">
        <f t="shared" si="7"/>
        <v>0.9400000000000005</v>
      </c>
      <c r="L59" s="675">
        <f t="shared" ca="1" si="6"/>
        <v>902.40000000000043</v>
      </c>
      <c r="M59" s="709">
        <f ca="1">INDIRECT(SUBSTITUTE("'S'!M59", "S", Sheet1))                                       +INDIRECT(SUBSTITUTE("'S'!M59", "S", Sheet2))</f>
        <v>0</v>
      </c>
      <c r="N59" s="39">
        <f ca="1">INDIRECT(SUBSTITUTE("'S'!N59", "S", Sheet1))                                       +INDIRECT(SUBSTITUTE("'S'!N59", "S", Sheet2))</f>
        <v>-156.86932186946322</v>
      </c>
      <c r="O59" s="675">
        <f ca="1">INDIRECT(SUBSTITUTE("'S'!O59", "S", Sheet1))                                       +INDIRECT(SUBSTITUTE("'S'!O59", "S", Sheet2))</f>
        <v>0</v>
      </c>
      <c r="P59" s="675">
        <f ca="1">INDIRECT(SUBSTITUTE("'S'!P59", "S", Sheet1))                                       +INDIRECT(SUBSTITUTE("'S'!P59", "S", Sheet2))</f>
        <v>0</v>
      </c>
      <c r="Q59" s="675">
        <f ca="1">INDIRECT(SUBSTITUTE("'S'!Q59", "S", Sheet1))                                       +INDIRECT(SUBSTITUTE("'S'!Q59", "S", Sheet2))</f>
        <v>0</v>
      </c>
      <c r="R59" s="687">
        <f ca="1">INDIRECT(SUBSTITUTE("'S'!R59", "S", Sheet1))                                       +INDIRECT(SUBSTITUTE("'S'!R59", "S", Sheet2))</f>
        <v>0</v>
      </c>
    </row>
    <row r="60" spans="1:18" ht="15">
      <c r="A60" s="45"/>
      <c r="B60" s="45"/>
      <c r="C60" s="131"/>
      <c r="D60" s="129" t="s">
        <v>343</v>
      </c>
      <c r="E60" s="130">
        <f ca="1">((b^3*Ra)/(3*L) + (-(b^2)/2 + b^3/(3*L) - L^2/3)*Rb +  ((a - b)^3*(a + 3*b)*wb)/(24*L) +  ((a - b)^3*(a^2 + 3*a*b + b^2)*wm)/(30*L))/(E*Ix)</f>
        <v>0</v>
      </c>
      <c r="F60" s="45"/>
      <c r="G60" s="45"/>
      <c r="H60" s="45"/>
      <c r="I60" s="45"/>
      <c r="J60" s="87"/>
      <c r="K60" s="700">
        <f t="shared" si="7"/>
        <v>0.96000000000000052</v>
      </c>
      <c r="L60" s="675">
        <f t="shared" ca="1" si="6"/>
        <v>921.60000000000048</v>
      </c>
      <c r="M60" s="709">
        <f ca="1">INDIRECT(SUBSTITUTE("'S'!M60", "S", Sheet1))                                       +INDIRECT(SUBSTITUTE("'S'!M60", "S", Sheet2))</f>
        <v>0</v>
      </c>
      <c r="N60" s="39">
        <f ca="1">INDIRECT(SUBSTITUTE("'S'!N60", "S", Sheet1))                                       +INDIRECT(SUBSTITUTE("'S'!N60", "S", Sheet2))</f>
        <v>-161.34085260871677</v>
      </c>
      <c r="O60" s="675">
        <f ca="1">INDIRECT(SUBSTITUTE("'S'!O60", "S", Sheet1))                                       +INDIRECT(SUBSTITUTE("'S'!O60", "S", Sheet2))</f>
        <v>0</v>
      </c>
      <c r="P60" s="675">
        <f ca="1">INDIRECT(SUBSTITUTE("'S'!P60", "S", Sheet1))                                       +INDIRECT(SUBSTITUTE("'S'!P60", "S", Sheet2))</f>
        <v>0</v>
      </c>
      <c r="Q60" s="675">
        <f ca="1">INDIRECT(SUBSTITUTE("'S'!Q60", "S", Sheet1))                                       +INDIRECT(SUBSTITUTE("'S'!Q60", "S", Sheet2))</f>
        <v>0</v>
      </c>
      <c r="R60" s="687">
        <f ca="1">INDIRECT(SUBSTITUTE("'S'!R60", "S", Sheet1))                                       +INDIRECT(SUBSTITUTE("'S'!R60", "S", Sheet2))</f>
        <v>0</v>
      </c>
    </row>
    <row r="61" spans="1:18">
      <c r="A61" s="45"/>
      <c r="B61" s="45"/>
      <c r="C61" s="45"/>
      <c r="D61" s="129" t="s">
        <v>344</v>
      </c>
      <c r="E61" s="130">
        <f ca="1">(-(b^3*Ra)/3 + (-b^3/3 + (b^2*L)/2)*Rb +  ((-a + b)^3*(a + 3*b)*wb)/24 +  ((-a + b)^3*(a^2 + 3*a*b + b^2)*wm)/30)/(E*Ix)</f>
        <v>0</v>
      </c>
      <c r="F61" s="45"/>
      <c r="G61" s="45"/>
      <c r="H61" s="45"/>
      <c r="I61" s="45"/>
      <c r="J61" s="87"/>
      <c r="K61" s="700">
        <f t="shared" si="7"/>
        <v>0.98000000000000054</v>
      </c>
      <c r="L61" s="675">
        <f t="shared" ca="1" si="6"/>
        <v>940.80000000000052</v>
      </c>
      <c r="M61" s="709">
        <f ca="1">INDIRECT(SUBSTITUTE("'S'!M61", "S", Sheet1))                                       +INDIRECT(SUBSTITUTE("'S'!M61", "S", Sheet2))</f>
        <v>0</v>
      </c>
      <c r="N61" s="39">
        <f ca="1">INDIRECT(SUBSTITUTE("'S'!N61", "S", Sheet1))                                       +INDIRECT(SUBSTITUTE("'S'!N61", "S", Sheet2))</f>
        <v>-165.81238334797038</v>
      </c>
      <c r="O61" s="675">
        <f ca="1">INDIRECT(SUBSTITUTE("'S'!O61", "S", Sheet1))                                       +INDIRECT(SUBSTITUTE("'S'!O61", "S", Sheet2))</f>
        <v>0</v>
      </c>
      <c r="P61" s="675">
        <f ca="1">INDIRECT(SUBSTITUTE("'S'!P61", "S", Sheet1))                                       +INDIRECT(SUBSTITUTE("'S'!P61", "S", Sheet2))</f>
        <v>0</v>
      </c>
      <c r="Q61" s="675">
        <f ca="1">INDIRECT(SUBSTITUTE("'S'!Q61", "S", Sheet1))                                       +INDIRECT(SUBSTITUTE("'S'!Q61", "S", Sheet2))</f>
        <v>0</v>
      </c>
      <c r="R61" s="687">
        <f ca="1">INDIRECT(SUBSTITUTE("'S'!R61", "S", Sheet1))                                       +INDIRECT(SUBSTITUTE("'S'!R61", "S", Sheet2))</f>
        <v>0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701">
        <f t="shared" si="7"/>
        <v>1.0000000000000004</v>
      </c>
      <c r="L62" s="676">
        <f t="shared" ca="1" si="6"/>
        <v>960.00000000000045</v>
      </c>
      <c r="M62" s="710">
        <f ca="1">INDIRECT(SUBSTITUTE("'S'!M62", "S", Sheet1))                                       +INDIRECT(SUBSTITUTE("'S'!M62", "S", Sheet2))</f>
        <v>0</v>
      </c>
      <c r="N62" s="42">
        <f ca="1">INDIRECT(SUBSTITUTE("'S'!N62", "S", Sheet1))                                       +INDIRECT(SUBSTITUTE("'S'!N62", "S", Sheet2))</f>
        <v>-170.28391408722391</v>
      </c>
      <c r="O62" s="676">
        <f ca="1">INDIRECT(SUBSTITUTE("'S'!O62", "S", Sheet1))                                       +INDIRECT(SUBSTITUTE("'S'!O62", "S", Sheet2))</f>
        <v>0</v>
      </c>
      <c r="P62" s="676">
        <f ca="1">INDIRECT(SUBSTITUTE("'S'!P62", "S", Sheet1))                                       +INDIRECT(SUBSTITUTE("'S'!P62", "S", Sheet2))</f>
        <v>0</v>
      </c>
      <c r="Q62" s="676">
        <f ca="1">INDIRECT(SUBSTITUTE("'S'!Q62", "S", Sheet1))                                       +INDIRECT(SUBSTITUTE("'S'!Q62", "S", Sheet2))</f>
        <v>0</v>
      </c>
      <c r="R62" s="688">
        <f ca="1">INDIRECT(SUBSTITUTE("'S'!R62", "S", Sheet1))                                       +INDIRECT(SUBSTITUTE("'S'!R62", "S", Sheet2))</f>
        <v>0</v>
      </c>
    </row>
    <row r="63" spans="1:18" ht="13.5" thickTop="1">
      <c r="J63" s="320"/>
    </row>
    <row r="64" spans="1:18">
      <c r="J64" s="320"/>
    </row>
    <row r="65" spans="10:10">
      <c r="J65" s="320"/>
    </row>
    <row r="66" spans="10:10">
      <c r="J66" s="320"/>
    </row>
    <row r="67" spans="10:10">
      <c r="J67" s="320"/>
    </row>
    <row r="68" spans="10:10">
      <c r="J68" s="320"/>
    </row>
    <row r="69" spans="10:10">
      <c r="J69" s="320"/>
    </row>
    <row r="70" spans="10:10">
      <c r="J70" s="320"/>
    </row>
    <row r="71" spans="10:10">
      <c r="J71" s="320"/>
    </row>
    <row r="72" spans="10:10">
      <c r="J72" s="320"/>
    </row>
    <row r="73" spans="10:10">
      <c r="J73" s="320"/>
    </row>
    <row r="74" spans="10:10">
      <c r="J74" s="320"/>
    </row>
    <row r="75" spans="10:10">
      <c r="J75" s="320"/>
    </row>
    <row r="76" spans="10:10">
      <c r="J76" s="320"/>
    </row>
    <row r="77" spans="10:10">
      <c r="J77" s="320"/>
    </row>
    <row r="78" spans="10:10">
      <c r="J78" s="320"/>
    </row>
    <row r="79" spans="10:10">
      <c r="J79" s="320"/>
    </row>
    <row r="80" spans="10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6" orientation="landscape" horizontalDpi="4294967292" verticalDpi="4294967292"/>
  <headerFooter alignWithMargins="0"/>
  <drawing r:id="rId1"/>
  <legacyDrawing r:id="rId2"/>
  <oleObjects>
    <oleObject progId="MSPhotoEd.3" shapeId="18265" r:id="rId3"/>
    <oleObject progId="MSPhotoEd.3" shapeId="1826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autoPageBreaks="0"/>
  </sheetPr>
  <dimension ref="A1:AB159"/>
  <sheetViews>
    <sheetView showGridLines="0" workbookViewId="0">
      <pane ySplit="8" topLeftCell="A9" activePane="bottomLeft" state="frozenSplit"/>
      <selection activeCell="B27" sqref="B27"/>
      <selection pane="bottomLeft" activeCell="B8" sqref="B8"/>
    </sheetView>
  </sheetViews>
  <sheetFormatPr defaultColWidth="10.7109375" defaultRowHeight="12.75"/>
  <cols>
    <col min="1" max="1" width="2.42578125" style="12" customWidth="1"/>
    <col min="2" max="2" width="24.85546875" style="2" customWidth="1"/>
    <col min="3" max="3" width="11" style="12" customWidth="1"/>
    <col min="4" max="4" width="15" style="12" customWidth="1"/>
    <col min="5" max="5" width="10.7109375" style="12" customWidth="1"/>
    <col min="6" max="6" width="11.85546875" style="14" customWidth="1"/>
    <col min="7" max="7" width="48.28515625" style="12" customWidth="1"/>
    <col min="8" max="16384" width="10.7109375" style="12"/>
  </cols>
  <sheetData>
    <row r="1" spans="1:28" ht="13.5" thickBot="1">
      <c r="A1" s="465"/>
      <c r="B1" s="465"/>
      <c r="C1" s="465"/>
      <c r="D1" s="465"/>
      <c r="E1" s="466"/>
      <c r="F1" s="467"/>
      <c r="G1" s="465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</row>
    <row r="2" spans="1:28" ht="17.25" thickTop="1" thickBot="1">
      <c r="A2" s="465"/>
      <c r="B2" s="497" t="s">
        <v>119</v>
      </c>
      <c r="C2" s="469" t="str">
        <f ca="1">IF(IsValidUser, "","Please register, see registration sheet.")</f>
        <v/>
      </c>
      <c r="D2" s="465"/>
      <c r="E2" s="466"/>
      <c r="F2" s="469"/>
      <c r="G2" s="465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</row>
    <row r="3" spans="1:28" ht="13.5" thickTop="1">
      <c r="A3" s="465"/>
      <c r="B3" s="498"/>
      <c r="C3" s="473" t="s">
        <v>120</v>
      </c>
      <c r="D3" s="474" t="s">
        <v>121</v>
      </c>
      <c r="E3" s="475" t="str">
        <f>IF(ActiveUnits="SI", "", "Specific")</f>
        <v>Specific</v>
      </c>
      <c r="F3" s="476" t="s">
        <v>122</v>
      </c>
      <c r="G3" s="477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</row>
    <row r="4" spans="1:28">
      <c r="A4" s="465"/>
      <c r="B4" s="499" t="s">
        <v>68</v>
      </c>
      <c r="C4" s="478" t="s">
        <v>123</v>
      </c>
      <c r="D4" s="479" t="s">
        <v>124</v>
      </c>
      <c r="E4" s="480" t="str">
        <f>IF(ActiveUnits="SI", "Density", "Weight")</f>
        <v>Weight</v>
      </c>
      <c r="F4" s="481" t="s">
        <v>125</v>
      </c>
      <c r="G4" s="482" t="s">
        <v>126</v>
      </c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</row>
    <row r="5" spans="1:28">
      <c r="A5" s="465"/>
      <c r="B5" s="499" t="s">
        <v>127</v>
      </c>
      <c r="C5" s="478" t="s">
        <v>128</v>
      </c>
      <c r="D5" s="483" t="s">
        <v>129</v>
      </c>
      <c r="E5" s="484" t="str">
        <f>IF(ActiveUnits="SI", "r", "g")</f>
        <v>g</v>
      </c>
      <c r="F5" s="485" t="str">
        <f>IF(ActiveUnits="SI", "s / r*", "s / g")</f>
        <v>s / g</v>
      </c>
      <c r="G5" s="486" t="s">
        <v>130</v>
      </c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</row>
    <row r="6" spans="1:28" ht="13.5" thickBot="1">
      <c r="A6" s="465"/>
      <c r="B6" s="500"/>
      <c r="C6" s="487" t="str">
        <f>IF(ActiveUnits="SI", "GPa", "msi")</f>
        <v>msi</v>
      </c>
      <c r="D6" s="488" t="str">
        <f>IF(ActiveUnits="SI", "MPa", "ksi")</f>
        <v>ksi</v>
      </c>
      <c r="E6" s="489" t="str">
        <f>IF(ActiveUnits="SI", "kg/m^3", "lbs/in^3")</f>
        <v>lbs/in^3</v>
      </c>
      <c r="F6" s="490" t="str">
        <f>IF(ActiveUnits="SI", "m", "in")</f>
        <v>in</v>
      </c>
      <c r="G6" s="491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</row>
    <row r="7" spans="1:28" ht="14.25" thickTop="1" thickBot="1">
      <c r="A7" s="470"/>
      <c r="B7" s="9" t="s">
        <v>224</v>
      </c>
      <c r="C7" s="492">
        <f>VLOOKUP($B$7, MaterialTable, 2, FALSE)</f>
        <v>2300000</v>
      </c>
      <c r="D7" s="493">
        <f>VLOOKUP($B$7, MaterialTable, 3, FALSE)</f>
        <v>24000</v>
      </c>
      <c r="E7" s="494">
        <f>VLOOKUP($B$7, MaterialTable, 4, FALSE)</f>
        <v>7.5999999999999998E-2</v>
      </c>
      <c r="F7" s="495">
        <f>VLOOKUP($B$7, MaterialTable, 5, FALSE)</f>
        <v>315789.47368421056</v>
      </c>
      <c r="G7" s="584">
        <f>VLOOKUP($B$7, MaterialTable, 6, FALSE)</f>
        <v>0</v>
      </c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</row>
    <row r="8" spans="1:28" ht="13.5" thickTop="1">
      <c r="A8" s="465"/>
      <c r="B8" s="469" t="s">
        <v>131</v>
      </c>
      <c r="C8" s="471"/>
      <c r="D8" s="472"/>
      <c r="E8" s="466"/>
      <c r="F8" s="465"/>
      <c r="G8" s="465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</row>
    <row r="9" spans="1:28">
      <c r="A9" s="465"/>
      <c r="B9" s="522"/>
      <c r="C9" s="471"/>
      <c r="D9" s="472"/>
      <c r="E9" s="466"/>
      <c r="F9" s="467"/>
      <c r="G9" s="465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</row>
    <row r="10" spans="1:28" ht="16.5" thickBot="1">
      <c r="A10" s="465"/>
      <c r="B10" s="502" t="s">
        <v>132</v>
      </c>
      <c r="C10" s="471"/>
      <c r="D10" s="523" t="s">
        <v>133</v>
      </c>
      <c r="E10" s="466"/>
      <c r="F10" s="524"/>
      <c r="G10" s="504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</row>
    <row r="11" spans="1:28" ht="13.5" thickTop="1">
      <c r="A11" s="465"/>
      <c r="B11" s="505"/>
      <c r="C11" s="506" t="s">
        <v>120</v>
      </c>
      <c r="D11" s="507" t="s">
        <v>121</v>
      </c>
      <c r="E11" s="508" t="str">
        <f>$E$3</f>
        <v>Specific</v>
      </c>
      <c r="F11" s="476" t="s">
        <v>122</v>
      </c>
      <c r="G11" s="477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</row>
    <row r="12" spans="1:28">
      <c r="A12" s="465"/>
      <c r="B12" s="509" t="s">
        <v>134</v>
      </c>
      <c r="C12" s="510" t="s">
        <v>123</v>
      </c>
      <c r="D12" s="511" t="s">
        <v>124</v>
      </c>
      <c r="E12" s="512" t="str">
        <f>$E$4</f>
        <v>Weight</v>
      </c>
      <c r="F12" s="481" t="s">
        <v>125</v>
      </c>
      <c r="G12" s="482" t="s">
        <v>126</v>
      </c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</row>
    <row r="13" spans="1:28">
      <c r="A13" s="465"/>
      <c r="B13" s="509" t="s">
        <v>135</v>
      </c>
      <c r="C13" s="510" t="s">
        <v>128</v>
      </c>
      <c r="D13" s="513" t="s">
        <v>129</v>
      </c>
      <c r="E13" s="514" t="str">
        <f>$E$5</f>
        <v>g</v>
      </c>
      <c r="F13" s="485" t="str">
        <f>$F$5</f>
        <v>s / g</v>
      </c>
      <c r="G13" s="486" t="s">
        <v>130</v>
      </c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</row>
    <row r="14" spans="1:28">
      <c r="A14" s="465"/>
      <c r="B14" s="525"/>
      <c r="C14" s="516" t="str">
        <f>$C$6</f>
        <v>msi</v>
      </c>
      <c r="D14" s="517" t="str">
        <f>$D$6</f>
        <v>ksi</v>
      </c>
      <c r="E14" s="518" t="str">
        <f>$E$6</f>
        <v>lbs/in^3</v>
      </c>
      <c r="F14" s="490" t="str">
        <f>$F$6</f>
        <v>in</v>
      </c>
      <c r="G14" s="491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</row>
    <row r="15" spans="1:28">
      <c r="A15" s="465"/>
      <c r="B15" s="135" t="s">
        <v>136</v>
      </c>
      <c r="C15" s="136">
        <f>10.5*1000000*Conv_E</f>
        <v>10500000</v>
      </c>
      <c r="D15" s="137">
        <f>Conv_s*42000</f>
        <v>42000</v>
      </c>
      <c r="E15" s="138">
        <f>Conv_r*0.1</f>
        <v>0.1</v>
      </c>
      <c r="F15" s="139">
        <f>D15/E15/Conv_x</f>
        <v>420000</v>
      </c>
      <c r="G15" s="140" t="s">
        <v>137</v>
      </c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</row>
    <row r="16" spans="1:28">
      <c r="A16" s="465"/>
      <c r="B16" s="135" t="s">
        <v>138</v>
      </c>
      <c r="C16" s="136">
        <f>9.9*1000000*Conv_E</f>
        <v>9900000</v>
      </c>
      <c r="D16" s="137">
        <f>Conv_s*34000</f>
        <v>34000</v>
      </c>
      <c r="E16" s="138">
        <f>Conv_r*0.098</f>
        <v>9.8000000000000004E-2</v>
      </c>
      <c r="F16" s="139">
        <f>D16/E16/Conv_x</f>
        <v>346938.77551020408</v>
      </c>
      <c r="G16" s="141" t="s">
        <v>139</v>
      </c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</row>
    <row r="17" spans="1:28" ht="13.5" thickBot="1">
      <c r="A17" s="465"/>
      <c r="B17" s="142" t="s">
        <v>140</v>
      </c>
      <c r="C17" s="143">
        <f>10.3*1000000*Conv_E</f>
        <v>10300000</v>
      </c>
      <c r="D17" s="144">
        <f>Conv_s*66000</f>
        <v>66000</v>
      </c>
      <c r="E17" s="145">
        <f>Conv_r*0.101</f>
        <v>0.10100000000000001</v>
      </c>
      <c r="F17" s="146">
        <f>D17/E17/Conv_x</f>
        <v>653465.34653465345</v>
      </c>
      <c r="G17" s="147" t="s">
        <v>141</v>
      </c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</row>
    <row r="18" spans="1:28" ht="13.5" thickTop="1">
      <c r="A18" s="465"/>
      <c r="B18" s="501"/>
      <c r="C18" s="526" t="s">
        <v>142</v>
      </c>
      <c r="D18" s="472"/>
      <c r="E18" s="466"/>
      <c r="F18" s="467"/>
      <c r="G18" s="465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</row>
    <row r="19" spans="1:28">
      <c r="A19" s="465"/>
      <c r="B19" s="501"/>
      <c r="C19" s="526" t="s">
        <v>143</v>
      </c>
      <c r="D19" s="472"/>
      <c r="E19" s="466"/>
      <c r="F19" s="467"/>
      <c r="G19" s="465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</row>
    <row r="20" spans="1:28" ht="16.5" thickBot="1">
      <c r="A20" s="465"/>
      <c r="B20" s="502" t="s">
        <v>144</v>
      </c>
      <c r="C20" s="527" t="str">
        <f ca="1">IF(IsValidUser, "","Visit www.wdv.com &amp; subscribe")</f>
        <v/>
      </c>
      <c r="D20" s="472"/>
      <c r="E20" s="503"/>
      <c r="F20" s="467"/>
      <c r="G20" s="504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</row>
    <row r="21" spans="1:28" ht="13.5" thickTop="1">
      <c r="A21" s="465"/>
      <c r="B21" s="505"/>
      <c r="C21" s="506" t="s">
        <v>120</v>
      </c>
      <c r="D21" s="507" t="s">
        <v>121</v>
      </c>
      <c r="E21" s="508" t="str">
        <f>$E$3</f>
        <v>Specific</v>
      </c>
      <c r="F21" s="476" t="s">
        <v>122</v>
      </c>
      <c r="G21" s="477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</row>
    <row r="22" spans="1:28">
      <c r="A22" s="465"/>
      <c r="B22" s="509" t="s">
        <v>134</v>
      </c>
      <c r="C22" s="510" t="s">
        <v>123</v>
      </c>
      <c r="D22" s="511" t="s">
        <v>124</v>
      </c>
      <c r="E22" s="512" t="str">
        <f>$E$4</f>
        <v>Weight</v>
      </c>
      <c r="F22" s="481" t="s">
        <v>125</v>
      </c>
      <c r="G22" s="482" t="s">
        <v>126</v>
      </c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</row>
    <row r="23" spans="1:28">
      <c r="A23" s="465"/>
      <c r="B23" s="509" t="s">
        <v>135</v>
      </c>
      <c r="C23" s="510" t="s">
        <v>128</v>
      </c>
      <c r="D23" s="513" t="s">
        <v>129</v>
      </c>
      <c r="E23" s="514" t="str">
        <f>$E$5</f>
        <v>g</v>
      </c>
      <c r="F23" s="485" t="str">
        <f>$F$5</f>
        <v>s / g</v>
      </c>
      <c r="G23" s="486" t="s">
        <v>145</v>
      </c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</row>
    <row r="24" spans="1:28">
      <c r="A24" s="465"/>
      <c r="B24" s="525"/>
      <c r="C24" s="516" t="str">
        <f>$C$6</f>
        <v>msi</v>
      </c>
      <c r="D24" s="517" t="str">
        <f>$D$6</f>
        <v>ksi</v>
      </c>
      <c r="E24" s="518" t="str">
        <f>$E$6</f>
        <v>lbs/in^3</v>
      </c>
      <c r="F24" s="490" t="str">
        <f>$F$6</f>
        <v>in</v>
      </c>
      <c r="G24" s="491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</row>
    <row r="25" spans="1:28">
      <c r="A25" s="465"/>
      <c r="B25" s="148" t="s">
        <v>146</v>
      </c>
      <c r="C25" s="149">
        <f>29*1000000*Conv_E</f>
        <v>29000000</v>
      </c>
      <c r="D25" s="150">
        <f>Conv_s*70000</f>
        <v>70000</v>
      </c>
      <c r="E25" s="151">
        <f t="shared" ref="E25:E37" si="0">Conv_r*0.283</f>
        <v>0.28299999999999997</v>
      </c>
      <c r="F25" s="152">
        <f t="shared" ref="F25:F40" si="1">D25/E25/Conv_x</f>
        <v>247349.82332155478</v>
      </c>
      <c r="G25" s="153" t="s">
        <v>147</v>
      </c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</row>
    <row r="26" spans="1:28">
      <c r="A26" s="465"/>
      <c r="B26" s="148" t="s">
        <v>148</v>
      </c>
      <c r="C26" s="149">
        <f>29*1000000*Conv_E</f>
        <v>29000000</v>
      </c>
      <c r="D26" s="150">
        <f>Conv_s*163000</f>
        <v>163000</v>
      </c>
      <c r="E26" s="151">
        <f t="shared" si="0"/>
        <v>0.28299999999999997</v>
      </c>
      <c r="F26" s="152">
        <f t="shared" si="1"/>
        <v>575971.73144876328</v>
      </c>
      <c r="G26" s="153" t="s">
        <v>147</v>
      </c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</row>
    <row r="27" spans="1:28">
      <c r="A27" s="465"/>
      <c r="B27" s="148" t="s">
        <v>149</v>
      </c>
      <c r="C27" s="149">
        <f>29*1000000*Conv_E</f>
        <v>29000000</v>
      </c>
      <c r="D27" s="150">
        <f>Conv_s*186000</f>
        <v>186000</v>
      </c>
      <c r="E27" s="151">
        <f t="shared" si="0"/>
        <v>0.28299999999999997</v>
      </c>
      <c r="F27" s="152">
        <f t="shared" si="1"/>
        <v>657243.81625441706</v>
      </c>
      <c r="G27" s="153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</row>
    <row r="28" spans="1:28">
      <c r="A28" s="465"/>
      <c r="B28" s="148" t="s">
        <v>150</v>
      </c>
      <c r="C28" s="149">
        <f>29*1000000*Conv_E</f>
        <v>29000000</v>
      </c>
      <c r="D28" s="150">
        <f>Conv_s*215000</f>
        <v>215000</v>
      </c>
      <c r="E28" s="151">
        <f t="shared" si="0"/>
        <v>0.28299999999999997</v>
      </c>
      <c r="F28" s="152">
        <f t="shared" si="1"/>
        <v>759717.3144876326</v>
      </c>
      <c r="G28" s="153" t="s">
        <v>151</v>
      </c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</row>
    <row r="29" spans="1:28">
      <c r="A29" s="465"/>
      <c r="B29" s="148" t="s">
        <v>152</v>
      </c>
      <c r="C29" s="149">
        <f>30000000*Conv_E</f>
        <v>30000000</v>
      </c>
      <c r="D29" s="150">
        <f>Conv_s*38000</f>
        <v>38000</v>
      </c>
      <c r="E29" s="151">
        <f t="shared" si="0"/>
        <v>0.28299999999999997</v>
      </c>
      <c r="F29" s="152">
        <f t="shared" si="1"/>
        <v>134275.61837455831</v>
      </c>
      <c r="G29" s="153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</row>
    <row r="30" spans="1:28">
      <c r="A30" s="465"/>
      <c r="B30" s="148" t="s">
        <v>153</v>
      </c>
      <c r="C30" s="149">
        <f>30000000*Conv_E</f>
        <v>30000000</v>
      </c>
      <c r="D30" s="150">
        <f>Conv_s*60000</f>
        <v>60000</v>
      </c>
      <c r="E30" s="151">
        <f t="shared" si="0"/>
        <v>0.28299999999999997</v>
      </c>
      <c r="F30" s="152">
        <f t="shared" si="1"/>
        <v>212014.13427561839</v>
      </c>
      <c r="G30" s="153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</row>
    <row r="31" spans="1:28">
      <c r="A31" s="465"/>
      <c r="B31" s="148" t="s">
        <v>154</v>
      </c>
      <c r="C31" s="149">
        <f>30000000*Conv_E</f>
        <v>30000000</v>
      </c>
      <c r="D31" s="150">
        <f>Conv_s*35000</f>
        <v>35000</v>
      </c>
      <c r="E31" s="151">
        <f t="shared" si="0"/>
        <v>0.28299999999999997</v>
      </c>
      <c r="F31" s="152">
        <f t="shared" si="1"/>
        <v>123674.91166077739</v>
      </c>
      <c r="G31" s="153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</row>
    <row r="32" spans="1:28">
      <c r="A32" s="465"/>
      <c r="B32" s="148" t="s">
        <v>155</v>
      </c>
      <c r="C32" s="149">
        <f>29000000*Conv_E</f>
        <v>29000000</v>
      </c>
      <c r="D32" s="150">
        <f>Conv_s*92000</f>
        <v>92000</v>
      </c>
      <c r="E32" s="151">
        <f t="shared" si="0"/>
        <v>0.28299999999999997</v>
      </c>
      <c r="F32" s="152">
        <f t="shared" si="1"/>
        <v>325088.33922261489</v>
      </c>
      <c r="G32" s="153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</row>
    <row r="33" spans="1:28">
      <c r="A33" s="465"/>
      <c r="B33" s="148" t="s">
        <v>156</v>
      </c>
      <c r="C33" s="149">
        <f>30000000*Conv_E</f>
        <v>30000000</v>
      </c>
      <c r="D33" s="150">
        <f>Conv_s*220000</f>
        <v>220000</v>
      </c>
      <c r="E33" s="151">
        <f t="shared" si="0"/>
        <v>0.28299999999999997</v>
      </c>
      <c r="F33" s="152">
        <f t="shared" si="1"/>
        <v>777385.15901060076</v>
      </c>
      <c r="G33" s="153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</row>
    <row r="34" spans="1:28">
      <c r="A34" s="465"/>
      <c r="B34" s="148" t="s">
        <v>157</v>
      </c>
      <c r="C34" s="149">
        <f>30000000*Conv_E</f>
        <v>30000000</v>
      </c>
      <c r="D34" s="150">
        <f>Conv_s*270000</f>
        <v>270000</v>
      </c>
      <c r="E34" s="151">
        <f t="shared" si="0"/>
        <v>0.28299999999999997</v>
      </c>
      <c r="F34" s="152">
        <f t="shared" si="1"/>
        <v>954063.60424028279</v>
      </c>
      <c r="G34" s="153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8"/>
    </row>
    <row r="35" spans="1:28">
      <c r="A35" s="465"/>
      <c r="B35" s="148" t="s">
        <v>158</v>
      </c>
      <c r="C35" s="149">
        <f>29000000*Conv_E</f>
        <v>29000000</v>
      </c>
      <c r="D35" s="150">
        <f>Conv_s*240000</f>
        <v>240000</v>
      </c>
      <c r="E35" s="151">
        <f t="shared" si="0"/>
        <v>0.28299999999999997</v>
      </c>
      <c r="F35" s="152">
        <f t="shared" si="1"/>
        <v>848056.53710247355</v>
      </c>
      <c r="G35" s="153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</row>
    <row r="36" spans="1:28">
      <c r="A36" s="465"/>
      <c r="B36" s="148" t="s">
        <v>159</v>
      </c>
      <c r="C36" s="149">
        <f>28000000*Conv_E</f>
        <v>28000000</v>
      </c>
      <c r="D36" s="150">
        <f>Conv_s*222000</f>
        <v>222000</v>
      </c>
      <c r="E36" s="151">
        <f t="shared" si="0"/>
        <v>0.28299999999999997</v>
      </c>
      <c r="F36" s="152">
        <f t="shared" si="1"/>
        <v>784452.29681978805</v>
      </c>
      <c r="G36" s="154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468"/>
      <c r="AB36" s="468"/>
    </row>
    <row r="37" spans="1:28">
      <c r="A37" s="465"/>
      <c r="B37" s="148" t="s">
        <v>160</v>
      </c>
      <c r="C37" s="149">
        <f>30000000*Conv_E</f>
        <v>30000000</v>
      </c>
      <c r="D37" s="150">
        <f>Conv_s*200000</f>
        <v>200000</v>
      </c>
      <c r="E37" s="151">
        <f t="shared" si="0"/>
        <v>0.28299999999999997</v>
      </c>
      <c r="F37" s="152">
        <f t="shared" si="1"/>
        <v>706713.78091872798</v>
      </c>
      <c r="G37" s="154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468"/>
      <c r="AB37" s="468"/>
    </row>
    <row r="38" spans="1:28">
      <c r="A38" s="465"/>
      <c r="B38" s="148" t="s">
        <v>161</v>
      </c>
      <c r="C38" s="149">
        <f>29000000*Conv_E</f>
        <v>29000000</v>
      </c>
      <c r="D38" s="150">
        <f>Conv_s*300000</f>
        <v>300000</v>
      </c>
      <c r="E38" s="151">
        <f>Conv_r*0.281</f>
        <v>0.28100000000000003</v>
      </c>
      <c r="F38" s="152">
        <f t="shared" si="1"/>
        <v>1067615.6583629893</v>
      </c>
      <c r="G38" s="154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68"/>
    </row>
    <row r="39" spans="1:28">
      <c r="A39" s="465"/>
      <c r="B39" s="148" t="s">
        <v>162</v>
      </c>
      <c r="C39" s="149">
        <f>29000000*Conv_E</f>
        <v>29000000</v>
      </c>
      <c r="D39" s="150">
        <f>Conv_s*102000</f>
        <v>102000</v>
      </c>
      <c r="E39" s="151">
        <f>Conv_r*0.295</f>
        <v>0.29499999999999998</v>
      </c>
      <c r="F39" s="152">
        <f t="shared" si="1"/>
        <v>345762.71186440683</v>
      </c>
      <c r="G39" s="154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</row>
    <row r="40" spans="1:28" ht="13.5" thickBot="1">
      <c r="A40" s="465"/>
      <c r="B40" s="155" t="s">
        <v>163</v>
      </c>
      <c r="C40" s="156">
        <f>29000000*Conv_E</f>
        <v>29000000</v>
      </c>
      <c r="D40" s="157">
        <f>Conv_s*36000</f>
        <v>36000</v>
      </c>
      <c r="E40" s="158">
        <f>Conv_r*0.284</f>
        <v>0.28399999999999997</v>
      </c>
      <c r="F40" s="159">
        <f t="shared" si="1"/>
        <v>126760.5633802817</v>
      </c>
      <c r="G40" s="160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</row>
    <row r="41" spans="1:28" ht="13.5" thickTop="1">
      <c r="A41" s="465"/>
      <c r="B41" s="161" t="s">
        <v>164</v>
      </c>
      <c r="C41" s="162"/>
      <c r="D41" s="163"/>
      <c r="E41" s="164"/>
      <c r="F41" s="165"/>
      <c r="G41" s="166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</row>
    <row r="42" spans="1:28">
      <c r="A42" s="465"/>
      <c r="B42" s="167" t="s">
        <v>165</v>
      </c>
      <c r="C42" s="162">
        <f>28.5*1000000*Conv_E</f>
        <v>28500000</v>
      </c>
      <c r="D42" s="163">
        <f>Conv_s*75000</f>
        <v>75000</v>
      </c>
      <c r="E42" s="164">
        <f>Conv_r*0.284</f>
        <v>0.28399999999999997</v>
      </c>
      <c r="F42" s="165">
        <f t="shared" ref="F42:F51" si="2">D42/E42/Conv_x</f>
        <v>264084.50704225356</v>
      </c>
      <c r="G42" s="166" t="s">
        <v>166</v>
      </c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</row>
    <row r="43" spans="1:28">
      <c r="A43" s="465"/>
      <c r="B43" s="167" t="s">
        <v>167</v>
      </c>
      <c r="C43" s="162">
        <f>28.5*1000000*Conv_E</f>
        <v>28500000</v>
      </c>
      <c r="D43" s="163">
        <f>Conv_s*160000</f>
        <v>160000</v>
      </c>
      <c r="E43" s="164">
        <f>Conv_r*0.282</f>
        <v>0.28199999999999997</v>
      </c>
      <c r="F43" s="165">
        <f t="shared" si="2"/>
        <v>567375.8865248228</v>
      </c>
      <c r="G43" s="166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</row>
    <row r="44" spans="1:28">
      <c r="A44" s="465"/>
      <c r="B44" s="167" t="s">
        <v>168</v>
      </c>
      <c r="C44" s="162">
        <f>29*1000000*Conv_E</f>
        <v>29000000</v>
      </c>
      <c r="D44" s="163">
        <f>Conv_s*182000</f>
        <v>182000</v>
      </c>
      <c r="E44" s="164">
        <f>Conv_r*0.281</f>
        <v>0.28100000000000003</v>
      </c>
      <c r="F44" s="165">
        <f t="shared" si="2"/>
        <v>647686.83274021349</v>
      </c>
      <c r="G44" s="166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  <c r="T44" s="468"/>
      <c r="U44" s="468"/>
      <c r="V44" s="468"/>
      <c r="W44" s="468"/>
      <c r="X44" s="468"/>
      <c r="Y44" s="468"/>
      <c r="Z44" s="468"/>
      <c r="AA44" s="468"/>
      <c r="AB44" s="468"/>
    </row>
    <row r="45" spans="1:28">
      <c r="A45" s="465"/>
      <c r="B45" s="167" t="s">
        <v>169</v>
      </c>
      <c r="C45" s="162">
        <f>28.5*1000000*Conv_E</f>
        <v>28500000</v>
      </c>
      <c r="D45" s="163">
        <f>Conv_s*75000</f>
        <v>75000</v>
      </c>
      <c r="E45" s="164">
        <f>Conv_r*0.283</f>
        <v>0.28299999999999997</v>
      </c>
      <c r="F45" s="165">
        <f t="shared" si="2"/>
        <v>265017.66784452298</v>
      </c>
      <c r="G45" s="166" t="s">
        <v>166</v>
      </c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  <c r="AA45" s="468"/>
      <c r="AB45" s="468"/>
    </row>
    <row r="46" spans="1:28">
      <c r="A46" s="465"/>
      <c r="B46" s="167" t="s">
        <v>170</v>
      </c>
      <c r="C46" s="162">
        <f>28.5*1000000*Conv_E</f>
        <v>28500000</v>
      </c>
      <c r="D46" s="163">
        <f>Conv_s*143000</f>
        <v>143000</v>
      </c>
      <c r="E46" s="164">
        <f>Conv_r*0.283</f>
        <v>0.28299999999999997</v>
      </c>
      <c r="F46" s="165">
        <f t="shared" si="2"/>
        <v>505300.3533568905</v>
      </c>
      <c r="G46" s="166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  <c r="T46" s="468"/>
      <c r="U46" s="468"/>
      <c r="V46" s="468"/>
      <c r="W46" s="468"/>
      <c r="X46" s="468"/>
      <c r="Y46" s="468"/>
      <c r="Z46" s="468"/>
      <c r="AA46" s="468"/>
      <c r="AB46" s="468"/>
    </row>
    <row r="47" spans="1:28">
      <c r="A47" s="465"/>
      <c r="B47" s="167" t="s">
        <v>171</v>
      </c>
      <c r="C47" s="162">
        <f>29*1000000*Conv_E</f>
        <v>29000000</v>
      </c>
      <c r="D47" s="163">
        <f>Conv_s*160000</f>
        <v>160000</v>
      </c>
      <c r="E47" s="164">
        <f>Conv_r*0.277</f>
        <v>0.27700000000000002</v>
      </c>
      <c r="F47" s="165">
        <f t="shared" si="2"/>
        <v>577617.32851985551</v>
      </c>
      <c r="G47" s="166" t="s">
        <v>172</v>
      </c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  <c r="T47" s="468"/>
      <c r="U47" s="468"/>
      <c r="V47" s="468"/>
      <c r="W47" s="468"/>
      <c r="X47" s="468"/>
      <c r="Y47" s="468"/>
      <c r="Z47" s="468"/>
      <c r="AA47" s="468"/>
      <c r="AB47" s="468"/>
    </row>
    <row r="48" spans="1:28">
      <c r="A48" s="465"/>
      <c r="B48" s="167" t="s">
        <v>173</v>
      </c>
      <c r="C48" s="162">
        <f>27*1000000*Conv_E</f>
        <v>27000000</v>
      </c>
      <c r="D48" s="163">
        <f>Conv_s*260000</f>
        <v>260000</v>
      </c>
      <c r="E48" s="164">
        <f>Conv_r*0.29</f>
        <v>0.28999999999999998</v>
      </c>
      <c r="F48" s="165">
        <f t="shared" si="2"/>
        <v>896551.72413793113</v>
      </c>
      <c r="G48" s="166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68"/>
      <c r="U48" s="468"/>
      <c r="V48" s="468"/>
      <c r="W48" s="468"/>
      <c r="X48" s="468"/>
      <c r="Y48" s="468"/>
      <c r="Z48" s="468"/>
      <c r="AA48" s="468"/>
      <c r="AB48" s="468"/>
    </row>
    <row r="49" spans="1:28">
      <c r="A49" s="465"/>
      <c r="B49" s="167" t="s">
        <v>174</v>
      </c>
      <c r="C49" s="162">
        <f>26*1000000*Conv_E</f>
        <v>26000000</v>
      </c>
      <c r="D49" s="163">
        <f>Conv_s*98000</f>
        <v>98000</v>
      </c>
      <c r="E49" s="164">
        <f>Conv_r*0.286</f>
        <v>0.28599999999999998</v>
      </c>
      <c r="F49" s="165">
        <f t="shared" si="2"/>
        <v>342657.34265734267</v>
      </c>
      <c r="G49" s="166" t="s">
        <v>175</v>
      </c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68"/>
      <c r="AB49" s="468"/>
    </row>
    <row r="50" spans="1:28">
      <c r="A50" s="465"/>
      <c r="B50" s="167" t="s">
        <v>176</v>
      </c>
      <c r="C50" s="162">
        <f>28*1000000*Conv_E</f>
        <v>28000000</v>
      </c>
      <c r="D50" s="163">
        <f>Conv_s*30000</f>
        <v>30000</v>
      </c>
      <c r="E50" s="164">
        <f>Conv_r*0.284</f>
        <v>0.28399999999999997</v>
      </c>
      <c r="F50" s="165">
        <f t="shared" si="2"/>
        <v>105633.80281690141</v>
      </c>
      <c r="G50" s="166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  <c r="T50" s="468"/>
      <c r="U50" s="468"/>
      <c r="V50" s="468"/>
      <c r="W50" s="468"/>
      <c r="X50" s="468"/>
      <c r="Y50" s="468"/>
      <c r="Z50" s="468"/>
      <c r="AA50" s="468"/>
      <c r="AB50" s="468"/>
    </row>
    <row r="51" spans="1:28" ht="13.5" thickBot="1">
      <c r="A51" s="465"/>
      <c r="B51" s="168" t="s">
        <v>177</v>
      </c>
      <c r="C51" s="169">
        <f>27*1000000*Conv_E</f>
        <v>27000000</v>
      </c>
      <c r="D51" s="170">
        <f>Conv_s*37000</f>
        <v>37000</v>
      </c>
      <c r="E51" s="171">
        <f>Conv_r*0.29</f>
        <v>0.28999999999999998</v>
      </c>
      <c r="F51" s="172">
        <f t="shared" si="2"/>
        <v>127586.20689655174</v>
      </c>
      <c r="G51" s="173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</row>
    <row r="52" spans="1:28" ht="13.5" thickTop="1">
      <c r="A52" s="465"/>
      <c r="B52" s="174" t="s">
        <v>178</v>
      </c>
      <c r="C52" s="175"/>
      <c r="D52" s="176"/>
      <c r="E52" s="177"/>
      <c r="F52" s="178"/>
      <c r="G52" s="179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  <c r="T52" s="468"/>
      <c r="U52" s="468"/>
      <c r="V52" s="468"/>
      <c r="W52" s="468"/>
      <c r="X52" s="468"/>
      <c r="Y52" s="468"/>
      <c r="Z52" s="468"/>
      <c r="AA52" s="468"/>
      <c r="AB52" s="468"/>
    </row>
    <row r="53" spans="1:28">
      <c r="A53" s="465"/>
      <c r="B53" s="180" t="s">
        <v>179</v>
      </c>
      <c r="C53" s="175">
        <f>29.1*1000000*Conv_E</f>
        <v>29100000</v>
      </c>
      <c r="D53" s="176">
        <f>Conv_s*85000</f>
        <v>85000</v>
      </c>
      <c r="E53" s="177">
        <f>Conv_r*0.287</f>
        <v>0.28699999999999998</v>
      </c>
      <c r="F53" s="178">
        <f>D53/E53/Conv_x</f>
        <v>296167.24738675961</v>
      </c>
      <c r="G53" s="179" t="s">
        <v>180</v>
      </c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</row>
    <row r="54" spans="1:28">
      <c r="A54" s="465"/>
      <c r="B54" s="180" t="s">
        <v>181</v>
      </c>
      <c r="C54" s="175">
        <f>30*1000000*Conv_E</f>
        <v>30000000</v>
      </c>
      <c r="D54" s="176">
        <f>Conv_s*30000</f>
        <v>30000</v>
      </c>
      <c r="E54" s="177">
        <f>Conv_r*0.304</f>
        <v>0.30399999999999999</v>
      </c>
      <c r="F54" s="178">
        <f>D54/E54/Conv_x</f>
        <v>98684.210526315786</v>
      </c>
      <c r="G54" s="179" t="s">
        <v>182</v>
      </c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  <c r="T54" s="468"/>
      <c r="U54" s="468"/>
      <c r="V54" s="468"/>
      <c r="W54" s="468"/>
      <c r="X54" s="468"/>
      <c r="Y54" s="468"/>
      <c r="Z54" s="468"/>
      <c r="AA54" s="468"/>
      <c r="AB54" s="468"/>
    </row>
    <row r="55" spans="1:28">
      <c r="A55" s="465"/>
      <c r="B55" s="180" t="s">
        <v>183</v>
      </c>
      <c r="C55" s="175">
        <f>29.6*1000000*Conv_E</f>
        <v>29600000</v>
      </c>
      <c r="D55" s="176">
        <f>Conv_s*145000</f>
        <v>145000</v>
      </c>
      <c r="E55" s="177">
        <f>Conv_r*0.297</f>
        <v>0.29699999999999999</v>
      </c>
      <c r="F55" s="178">
        <f>D55/E55/Conv_x</f>
        <v>488215.48821548827</v>
      </c>
      <c r="G55" s="179" t="s">
        <v>184</v>
      </c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  <c r="T55" s="468"/>
      <c r="U55" s="468"/>
      <c r="V55" s="468"/>
      <c r="W55" s="468"/>
      <c r="X55" s="468"/>
      <c r="Y55" s="468"/>
      <c r="Z55" s="468"/>
      <c r="AA55" s="468"/>
      <c r="AB55" s="468"/>
    </row>
    <row r="56" spans="1:28" ht="13.5" thickBot="1">
      <c r="A56" s="465"/>
      <c r="B56" s="181"/>
      <c r="C56" s="182"/>
      <c r="D56" s="183"/>
      <c r="E56" s="184"/>
      <c r="F56" s="185"/>
      <c r="G56" s="186" t="s">
        <v>185</v>
      </c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</row>
    <row r="57" spans="1:28" ht="13.5" thickTop="1">
      <c r="A57" s="465"/>
      <c r="B57" s="501"/>
      <c r="C57" s="471"/>
      <c r="D57" s="472"/>
      <c r="E57" s="466"/>
      <c r="F57" s="467"/>
      <c r="G57" s="465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468"/>
      <c r="X57" s="468"/>
      <c r="Y57" s="468"/>
      <c r="Z57" s="468"/>
      <c r="AA57" s="468"/>
      <c r="AB57" s="468"/>
    </row>
    <row r="58" spans="1:28">
      <c r="A58" s="465"/>
      <c r="B58" s="501"/>
      <c r="C58" s="471"/>
      <c r="D58" s="472"/>
      <c r="E58" s="466"/>
      <c r="F58" s="467"/>
      <c r="G58" s="465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</row>
    <row r="59" spans="1:28" ht="16.5" thickBot="1">
      <c r="A59" s="465"/>
      <c r="B59" s="502" t="s">
        <v>186</v>
      </c>
      <c r="C59" s="471"/>
      <c r="D59" s="472"/>
      <c r="E59" s="503"/>
      <c r="F59" s="467"/>
      <c r="G59" s="504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  <c r="AB59" s="468"/>
    </row>
    <row r="60" spans="1:28" ht="13.5" thickTop="1">
      <c r="A60" s="465"/>
      <c r="B60" s="505"/>
      <c r="C60" s="506" t="s">
        <v>120</v>
      </c>
      <c r="D60" s="507" t="s">
        <v>121</v>
      </c>
      <c r="E60" s="508" t="str">
        <f>$E$3</f>
        <v>Specific</v>
      </c>
      <c r="F60" s="476" t="s">
        <v>122</v>
      </c>
      <c r="G60" s="477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  <c r="V60" s="468"/>
      <c r="W60" s="468"/>
      <c r="X60" s="468"/>
      <c r="Y60" s="468"/>
      <c r="Z60" s="468"/>
      <c r="AA60" s="468"/>
      <c r="AB60" s="468"/>
    </row>
    <row r="61" spans="1:28">
      <c r="A61" s="465"/>
      <c r="B61" s="509" t="s">
        <v>134</v>
      </c>
      <c r="C61" s="510" t="s">
        <v>123</v>
      </c>
      <c r="D61" s="511" t="s">
        <v>124</v>
      </c>
      <c r="E61" s="512" t="str">
        <f>$E$4</f>
        <v>Weight</v>
      </c>
      <c r="F61" s="481" t="s">
        <v>125</v>
      </c>
      <c r="G61" s="482" t="s">
        <v>126</v>
      </c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68"/>
      <c r="U61" s="468"/>
      <c r="V61" s="468"/>
      <c r="W61" s="468"/>
      <c r="X61" s="468"/>
      <c r="Y61" s="468"/>
      <c r="Z61" s="468"/>
      <c r="AA61" s="468"/>
      <c r="AB61" s="468"/>
    </row>
    <row r="62" spans="1:28">
      <c r="A62" s="465"/>
      <c r="B62" s="509" t="s">
        <v>135</v>
      </c>
      <c r="C62" s="510" t="s">
        <v>128</v>
      </c>
      <c r="D62" s="513" t="s">
        <v>129</v>
      </c>
      <c r="E62" s="514" t="str">
        <f>$E$5</f>
        <v>g</v>
      </c>
      <c r="F62" s="485" t="str">
        <f>$F$5</f>
        <v>s / g</v>
      </c>
      <c r="G62" s="486" t="s">
        <v>187</v>
      </c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</row>
    <row r="63" spans="1:28">
      <c r="A63" s="465"/>
      <c r="B63" s="525"/>
      <c r="C63" s="516" t="str">
        <f>$C$6</f>
        <v>msi</v>
      </c>
      <c r="D63" s="517" t="str">
        <f>$D$6</f>
        <v>ksi</v>
      </c>
      <c r="E63" s="518" t="str">
        <f>$E$6</f>
        <v>lbs/in^3</v>
      </c>
      <c r="F63" s="490" t="str">
        <f>$F$6</f>
        <v>in</v>
      </c>
      <c r="G63" s="491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  <c r="T63" s="468"/>
      <c r="U63" s="468"/>
      <c r="V63" s="468"/>
      <c r="W63" s="468"/>
      <c r="X63" s="468"/>
      <c r="Y63" s="468"/>
      <c r="Z63" s="468"/>
      <c r="AA63" s="468"/>
      <c r="AB63" s="468"/>
    </row>
    <row r="64" spans="1:28">
      <c r="A64" s="465"/>
      <c r="B64" s="187" t="s">
        <v>188</v>
      </c>
      <c r="C64" s="188">
        <f>16.5*1000000*Conv_E</f>
        <v>16500000</v>
      </c>
      <c r="D64" s="189">
        <f>Conv_s*120000</f>
        <v>120000</v>
      </c>
      <c r="E64" s="190">
        <f>Conv_r*0.161</f>
        <v>0.161</v>
      </c>
      <c r="F64" s="191">
        <f t="shared" ref="F64:F70" si="3">D64/E64/Conv_x</f>
        <v>745341.61490683223</v>
      </c>
      <c r="G64" s="192" t="s">
        <v>189</v>
      </c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  <c r="T64" s="468"/>
      <c r="U64" s="468"/>
      <c r="V64" s="468"/>
      <c r="W64" s="468"/>
      <c r="X64" s="468"/>
      <c r="Y64" s="468"/>
      <c r="Z64" s="468"/>
      <c r="AA64" s="468"/>
      <c r="AB64" s="468"/>
    </row>
    <row r="65" spans="1:28">
      <c r="A65" s="465"/>
      <c r="B65" s="187" t="s">
        <v>190</v>
      </c>
      <c r="C65" s="188">
        <f>17.4*1000000*Conv_E</f>
        <v>17400000</v>
      </c>
      <c r="D65" s="189">
        <f>Conv_s*134000</f>
        <v>134000</v>
      </c>
      <c r="E65" s="190">
        <f>Conv_r*0.16</f>
        <v>0.16</v>
      </c>
      <c r="F65" s="191">
        <f t="shared" si="3"/>
        <v>837500</v>
      </c>
      <c r="G65" s="192" t="s">
        <v>191</v>
      </c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  <c r="T65" s="468"/>
      <c r="U65" s="468"/>
      <c r="V65" s="468"/>
      <c r="W65" s="468"/>
      <c r="X65" s="468"/>
      <c r="Y65" s="468"/>
      <c r="Z65" s="468"/>
      <c r="AA65" s="468"/>
      <c r="AB65" s="468"/>
    </row>
    <row r="66" spans="1:28">
      <c r="A66" s="465"/>
      <c r="B66" s="187" t="s">
        <v>192</v>
      </c>
      <c r="C66" s="188">
        <f>17*1000000*Conv_E</f>
        <v>17000000</v>
      </c>
      <c r="D66" s="189">
        <f>Conv_s*140000</f>
        <v>140000</v>
      </c>
      <c r="E66" s="190">
        <f>Conv_r*0.164</f>
        <v>0.16400000000000001</v>
      </c>
      <c r="F66" s="191">
        <f t="shared" si="3"/>
        <v>853658.53658536577</v>
      </c>
      <c r="G66" s="192" t="s">
        <v>193</v>
      </c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  <c r="T66" s="468"/>
      <c r="U66" s="468"/>
      <c r="V66" s="468"/>
      <c r="W66" s="468"/>
      <c r="X66" s="468"/>
      <c r="Y66" s="468"/>
      <c r="Z66" s="468"/>
      <c r="AA66" s="468"/>
      <c r="AB66" s="468"/>
    </row>
    <row r="67" spans="1:28">
      <c r="A67" s="465"/>
      <c r="B67" s="187" t="s">
        <v>194</v>
      </c>
      <c r="C67" s="188">
        <f>17*1000000*Conv_E</f>
        <v>17000000</v>
      </c>
      <c r="D67" s="189">
        <f>Conv_s*110000</f>
        <v>110000</v>
      </c>
      <c r="E67" s="190">
        <f>Conv_r*0.161</f>
        <v>0.161</v>
      </c>
      <c r="F67" s="191">
        <f t="shared" si="3"/>
        <v>683229.81366459629</v>
      </c>
      <c r="G67" s="192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  <c r="T67" s="468"/>
      <c r="U67" s="468"/>
      <c r="V67" s="468"/>
      <c r="W67" s="468"/>
      <c r="X67" s="468"/>
      <c r="Y67" s="468"/>
      <c r="Z67" s="468"/>
      <c r="AA67" s="468"/>
      <c r="AB67" s="468"/>
    </row>
    <row r="68" spans="1:28">
      <c r="A68" s="465"/>
      <c r="B68" s="187" t="s">
        <v>195</v>
      </c>
      <c r="C68" s="188">
        <f>17*1000000*Conv_E</f>
        <v>17000000</v>
      </c>
      <c r="D68" s="189">
        <f>Conv_s*150000</f>
        <v>150000</v>
      </c>
      <c r="E68" s="190">
        <f>Conv_r*0.17</f>
        <v>0.17</v>
      </c>
      <c r="F68" s="191">
        <f t="shared" si="3"/>
        <v>882352.94117647049</v>
      </c>
      <c r="G68" s="192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</row>
    <row r="69" spans="1:28">
      <c r="A69" s="465"/>
      <c r="B69" s="187" t="s">
        <v>196</v>
      </c>
      <c r="C69" s="188">
        <f>6.48*1000000*Conv_E</f>
        <v>6480000</v>
      </c>
      <c r="D69" s="189">
        <f>Conv_s*22000</f>
        <v>22000</v>
      </c>
      <c r="E69" s="190">
        <f>Conv_r*0.066</f>
        <v>6.6000000000000003E-2</v>
      </c>
      <c r="F69" s="191">
        <f t="shared" si="3"/>
        <v>333333.33333333331</v>
      </c>
      <c r="G69" s="192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</row>
    <row r="70" spans="1:28" ht="13.5" thickBot="1">
      <c r="A70" s="465"/>
      <c r="B70" s="193" t="s">
        <v>197</v>
      </c>
      <c r="C70" s="194">
        <f>6.5*1000000*Conv_E</f>
        <v>6500000</v>
      </c>
      <c r="D70" s="195">
        <f>Conv_s*38000</f>
        <v>38000</v>
      </c>
      <c r="E70" s="196">
        <f>Conv_r*0.065</f>
        <v>6.5000000000000002E-2</v>
      </c>
      <c r="F70" s="197">
        <f t="shared" si="3"/>
        <v>584615.38461538462</v>
      </c>
      <c r="G70" s="19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</row>
    <row r="71" spans="1:28" ht="13.5" thickTop="1">
      <c r="A71" s="465"/>
      <c r="B71" s="501"/>
      <c r="C71" s="471"/>
      <c r="D71" s="472"/>
      <c r="E71" s="466"/>
      <c r="F71" s="467"/>
      <c r="G71" s="465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  <c r="T71" s="468"/>
      <c r="U71" s="468"/>
      <c r="V71" s="468"/>
      <c r="W71" s="468"/>
      <c r="X71" s="468"/>
      <c r="Y71" s="468"/>
      <c r="Z71" s="468"/>
      <c r="AA71" s="468"/>
      <c r="AB71" s="468"/>
    </row>
    <row r="72" spans="1:28" ht="16.5" thickBot="1">
      <c r="A72" s="465"/>
      <c r="B72" s="502" t="s">
        <v>198</v>
      </c>
      <c r="C72" s="471"/>
      <c r="D72" s="472"/>
      <c r="E72" s="503"/>
      <c r="F72" s="467"/>
      <c r="G72" s="504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  <c r="T72" s="468"/>
      <c r="U72" s="468"/>
      <c r="V72" s="468"/>
      <c r="W72" s="468"/>
      <c r="X72" s="468"/>
      <c r="Y72" s="468"/>
      <c r="Z72" s="468"/>
      <c r="AA72" s="468"/>
      <c r="AB72" s="468"/>
    </row>
    <row r="73" spans="1:28" ht="13.5" thickTop="1">
      <c r="A73" s="465"/>
      <c r="B73" s="505"/>
      <c r="C73" s="506" t="s">
        <v>120</v>
      </c>
      <c r="D73" s="507" t="s">
        <v>121</v>
      </c>
      <c r="E73" s="508" t="str">
        <f>$E$3</f>
        <v>Specific</v>
      </c>
      <c r="F73" s="476" t="s">
        <v>122</v>
      </c>
      <c r="G73" s="477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  <c r="T73" s="468"/>
      <c r="U73" s="468"/>
      <c r="V73" s="468"/>
      <c r="W73" s="468"/>
      <c r="X73" s="468"/>
      <c r="Y73" s="468"/>
      <c r="Z73" s="468"/>
      <c r="AA73" s="468"/>
      <c r="AB73" s="468"/>
    </row>
    <row r="74" spans="1:28">
      <c r="A74" s="465"/>
      <c r="B74" s="509" t="s">
        <v>134</v>
      </c>
      <c r="C74" s="510" t="s">
        <v>123</v>
      </c>
      <c r="D74" s="511" t="s">
        <v>124</v>
      </c>
      <c r="E74" s="512" t="str">
        <f>$E$4</f>
        <v>Weight</v>
      </c>
      <c r="F74" s="481" t="s">
        <v>125</v>
      </c>
      <c r="G74" s="482" t="s">
        <v>126</v>
      </c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</row>
    <row r="75" spans="1:28">
      <c r="A75" s="465"/>
      <c r="B75" s="509" t="s">
        <v>135</v>
      </c>
      <c r="C75" s="510" t="s">
        <v>128</v>
      </c>
      <c r="D75" s="513" t="s">
        <v>129</v>
      </c>
      <c r="E75" s="514" t="str">
        <f>$E$5</f>
        <v>g</v>
      </c>
      <c r="F75" s="485" t="str">
        <f>$F$5</f>
        <v>s / g</v>
      </c>
      <c r="G75" s="486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  <c r="T75" s="468"/>
      <c r="U75" s="468"/>
      <c r="V75" s="468"/>
      <c r="W75" s="468"/>
      <c r="X75" s="468"/>
      <c r="Y75" s="468"/>
      <c r="Z75" s="468"/>
      <c r="AA75" s="468"/>
      <c r="AB75" s="468"/>
    </row>
    <row r="76" spans="1:28">
      <c r="A76" s="465"/>
      <c r="B76" s="525"/>
      <c r="C76" s="516" t="str">
        <f>$C$6</f>
        <v>msi</v>
      </c>
      <c r="D76" s="517" t="str">
        <f>$D$6</f>
        <v>ksi</v>
      </c>
      <c r="E76" s="518" t="str">
        <f>$E$6</f>
        <v>lbs/in^3</v>
      </c>
      <c r="F76" s="490" t="str">
        <f>$F$6</f>
        <v>in</v>
      </c>
      <c r="G76" s="491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  <c r="T76" s="468"/>
      <c r="U76" s="468"/>
      <c r="V76" s="468"/>
      <c r="W76" s="468"/>
      <c r="X76" s="468"/>
      <c r="Y76" s="468"/>
      <c r="Z76" s="468"/>
      <c r="AA76" s="468"/>
      <c r="AB76" s="468"/>
    </row>
    <row r="77" spans="1:28">
      <c r="A77" s="465"/>
      <c r="B77" s="199" t="s">
        <v>199</v>
      </c>
      <c r="C77" s="200">
        <f>17*1000000*Conv_E</f>
        <v>17000000</v>
      </c>
      <c r="D77" s="201">
        <f>Conv_s*10000</f>
        <v>10000</v>
      </c>
      <c r="E77" s="202">
        <f>Conv_r*0.323</f>
        <v>0.32300000000000001</v>
      </c>
      <c r="F77" s="203">
        <f t="shared" ref="F77:F83" si="4">D77/E77/Conv_x</f>
        <v>30959.752321981425</v>
      </c>
      <c r="G77" s="204" t="s">
        <v>200</v>
      </c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</row>
    <row r="78" spans="1:28">
      <c r="A78" s="465"/>
      <c r="B78" s="199" t="s">
        <v>201</v>
      </c>
      <c r="C78" s="200">
        <f>17*1000000*Conv_E</f>
        <v>17000000</v>
      </c>
      <c r="D78" s="201">
        <f>Conv_s*45000</f>
        <v>45000</v>
      </c>
      <c r="E78" s="202">
        <f>Conv_r*0.323</f>
        <v>0.32300000000000001</v>
      </c>
      <c r="F78" s="203">
        <f t="shared" si="4"/>
        <v>139318.88544891641</v>
      </c>
      <c r="G78" s="204" t="s">
        <v>200</v>
      </c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68"/>
      <c r="U78" s="468"/>
      <c r="V78" s="468"/>
      <c r="W78" s="468"/>
      <c r="X78" s="468"/>
      <c r="Y78" s="468"/>
      <c r="Z78" s="468"/>
      <c r="AA78" s="468"/>
      <c r="AB78" s="468"/>
    </row>
    <row r="79" spans="1:28">
      <c r="A79" s="465"/>
      <c r="B79" s="199" t="s">
        <v>202</v>
      </c>
      <c r="C79" s="200">
        <f>14.6*1000000*Conv_E</f>
        <v>14600000</v>
      </c>
      <c r="D79" s="201">
        <f>Conv_s*10100</f>
        <v>10100</v>
      </c>
      <c r="E79" s="202">
        <f>Conv_r*0.316</f>
        <v>0.316</v>
      </c>
      <c r="F79" s="203">
        <f t="shared" si="4"/>
        <v>31962.025316455696</v>
      </c>
      <c r="G79" s="204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  <c r="T79" s="468"/>
      <c r="U79" s="468"/>
      <c r="V79" s="468"/>
      <c r="W79" s="468"/>
      <c r="X79" s="468"/>
      <c r="Y79" s="468"/>
      <c r="Z79" s="468"/>
      <c r="AA79" s="468"/>
      <c r="AB79" s="468"/>
    </row>
    <row r="80" spans="1:28">
      <c r="A80" s="465"/>
      <c r="B80" s="199" t="s">
        <v>203</v>
      </c>
      <c r="C80" s="200">
        <f>15*1000000*Conv_E</f>
        <v>15000000</v>
      </c>
      <c r="D80" s="201">
        <f>Conv_s*50000</f>
        <v>50000</v>
      </c>
      <c r="E80" s="202">
        <f>Conv_r*0.319</f>
        <v>0.31900000000000001</v>
      </c>
      <c r="F80" s="203">
        <f t="shared" si="4"/>
        <v>156739.8119122257</v>
      </c>
      <c r="G80" s="204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68"/>
      <c r="U80" s="468"/>
      <c r="V80" s="468"/>
      <c r="W80" s="468"/>
      <c r="X80" s="468"/>
      <c r="Y80" s="468"/>
      <c r="Z80" s="468"/>
      <c r="AA80" s="468"/>
      <c r="AB80" s="468"/>
    </row>
    <row r="81" spans="1:28">
      <c r="A81" s="465"/>
      <c r="B81" s="199" t="s">
        <v>204</v>
      </c>
      <c r="C81" s="200">
        <f>30*1000000*Conv_E</f>
        <v>30000000</v>
      </c>
      <c r="D81" s="201">
        <f>Conv_s*25000</f>
        <v>25000</v>
      </c>
      <c r="E81" s="202">
        <f>Conv_r*0.321</f>
        <v>0.32100000000000001</v>
      </c>
      <c r="F81" s="203">
        <f t="shared" si="4"/>
        <v>77881.619937694704</v>
      </c>
      <c r="G81" s="204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</row>
    <row r="82" spans="1:28">
      <c r="A82" s="465"/>
      <c r="B82" s="199" t="s">
        <v>205</v>
      </c>
      <c r="C82" s="200">
        <f>15.9*1000000*Conv_E</f>
        <v>15900000</v>
      </c>
      <c r="D82" s="201">
        <f>Conv_s*75000</f>
        <v>75000</v>
      </c>
      <c r="E82" s="202">
        <f>Conv_r*0.32</f>
        <v>0.32</v>
      </c>
      <c r="F82" s="203">
        <f t="shared" si="4"/>
        <v>234375</v>
      </c>
      <c r="G82" s="204" t="s">
        <v>206</v>
      </c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</row>
    <row r="83" spans="1:28" ht="13.5" thickBot="1">
      <c r="A83" s="465"/>
      <c r="B83" s="205" t="s">
        <v>207</v>
      </c>
      <c r="C83" s="206">
        <f>16*1000000*Conv_E</f>
        <v>16000000</v>
      </c>
      <c r="D83" s="207">
        <f>Conv_s*122000</f>
        <v>122000</v>
      </c>
      <c r="E83" s="208">
        <f>Conv_r*0.317</f>
        <v>0.317</v>
      </c>
      <c r="F83" s="209">
        <f t="shared" si="4"/>
        <v>384858.04416403786</v>
      </c>
      <c r="G83" s="210" t="s">
        <v>208</v>
      </c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  <c r="T83" s="468"/>
      <c r="U83" s="468"/>
      <c r="V83" s="468"/>
      <c r="W83" s="468"/>
      <c r="X83" s="468"/>
      <c r="Y83" s="468"/>
      <c r="Z83" s="468"/>
      <c r="AA83" s="468"/>
      <c r="AB83" s="468"/>
    </row>
    <row r="84" spans="1:28" ht="13.5" thickTop="1">
      <c r="A84" s="465"/>
      <c r="B84" s="501"/>
      <c r="C84" s="471"/>
      <c r="D84" s="472"/>
      <c r="E84" s="466"/>
      <c r="F84" s="467"/>
      <c r="G84" s="465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</row>
    <row r="85" spans="1:28" ht="16.5" thickBot="1">
      <c r="A85" s="465"/>
      <c r="B85" s="502" t="s">
        <v>209</v>
      </c>
      <c r="C85" s="471"/>
      <c r="D85" s="472"/>
      <c r="E85" s="503"/>
      <c r="F85" s="467"/>
      <c r="G85" s="504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</row>
    <row r="86" spans="1:28" ht="13.5" thickTop="1">
      <c r="A86" s="465"/>
      <c r="B86" s="505"/>
      <c r="C86" s="506" t="s">
        <v>120</v>
      </c>
      <c r="D86" s="507" t="s">
        <v>121</v>
      </c>
      <c r="E86" s="508" t="str">
        <f>$E$3</f>
        <v>Specific</v>
      </c>
      <c r="F86" s="476" t="s">
        <v>122</v>
      </c>
      <c r="G86" s="477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  <c r="T86" s="468"/>
      <c r="U86" s="468"/>
      <c r="V86" s="468"/>
      <c r="W86" s="468"/>
      <c r="X86" s="468"/>
      <c r="Y86" s="468"/>
      <c r="Z86" s="468"/>
      <c r="AA86" s="468"/>
      <c r="AB86" s="468"/>
    </row>
    <row r="87" spans="1:28">
      <c r="A87" s="465"/>
      <c r="B87" s="509" t="s">
        <v>127</v>
      </c>
      <c r="C87" s="510" t="s">
        <v>123</v>
      </c>
      <c r="D87" s="511" t="s">
        <v>124</v>
      </c>
      <c r="E87" s="512" t="str">
        <f>$E$4</f>
        <v>Weight</v>
      </c>
      <c r="F87" s="481" t="s">
        <v>125</v>
      </c>
      <c r="G87" s="482" t="s">
        <v>126</v>
      </c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  <c r="AB87" s="468"/>
    </row>
    <row r="88" spans="1:28">
      <c r="A88" s="465"/>
      <c r="B88" s="509" t="s">
        <v>135</v>
      </c>
      <c r="C88" s="510" t="s">
        <v>128</v>
      </c>
      <c r="D88" s="513" t="s">
        <v>129</v>
      </c>
      <c r="E88" s="514" t="str">
        <f>$E$5</f>
        <v>g</v>
      </c>
      <c r="F88" s="485" t="str">
        <f>$F$5</f>
        <v>s / g</v>
      </c>
      <c r="G88" s="486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  <c r="T88" s="468"/>
      <c r="U88" s="468"/>
      <c r="V88" s="468"/>
      <c r="W88" s="468"/>
      <c r="X88" s="468"/>
      <c r="Y88" s="468"/>
      <c r="Z88" s="468"/>
      <c r="AA88" s="468"/>
      <c r="AB88" s="468"/>
    </row>
    <row r="89" spans="1:28">
      <c r="A89" s="465"/>
      <c r="B89" s="525"/>
      <c r="C89" s="516" t="str">
        <f>$C$6</f>
        <v>msi</v>
      </c>
      <c r="D89" s="517" t="str">
        <f>$D$6</f>
        <v>ksi</v>
      </c>
      <c r="E89" s="518" t="str">
        <f>$E$6</f>
        <v>lbs/in^3</v>
      </c>
      <c r="F89" s="490" t="str">
        <f>$F$6</f>
        <v>in</v>
      </c>
      <c r="G89" s="491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  <c r="T89" s="468"/>
      <c r="U89" s="468"/>
      <c r="V89" s="468"/>
      <c r="W89" s="468"/>
      <c r="X89" s="468"/>
      <c r="Y89" s="468"/>
      <c r="Z89" s="468"/>
      <c r="AA89" s="468"/>
      <c r="AB89" s="468"/>
    </row>
    <row r="90" spans="1:28">
      <c r="A90" s="465"/>
      <c r="B90" s="211" t="s">
        <v>210</v>
      </c>
      <c r="C90" s="471">
        <f>0.3*1000000*Conv_E</f>
        <v>300000</v>
      </c>
      <c r="D90" s="472">
        <f>Conv_s*8000</f>
        <v>8000</v>
      </c>
      <c r="E90" s="528">
        <f>Conv_r*0.04</f>
        <v>0.04</v>
      </c>
      <c r="F90" s="529">
        <f>D90/E90/Conv_x</f>
        <v>200000</v>
      </c>
      <c r="G90" s="470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  <c r="T90" s="468"/>
      <c r="U90" s="468"/>
      <c r="V90" s="468"/>
      <c r="W90" s="468"/>
      <c r="X90" s="468"/>
      <c r="Y90" s="468"/>
      <c r="Z90" s="468"/>
      <c r="AA90" s="468"/>
      <c r="AB90" s="468"/>
    </row>
    <row r="91" spans="1:28" ht="13.5" thickBot="1">
      <c r="A91" s="465"/>
      <c r="B91" s="212" t="s">
        <v>211</v>
      </c>
      <c r="C91" s="530">
        <f>0.55*1000000*Conv_E</f>
        <v>550000</v>
      </c>
      <c r="D91" s="531">
        <f>Conv_s*13000</f>
        <v>13000</v>
      </c>
      <c r="E91" s="532">
        <f>Conv_r*0.04</f>
        <v>0.04</v>
      </c>
      <c r="F91" s="495">
        <f>D91/E91/Conv_x</f>
        <v>325000</v>
      </c>
      <c r="G91" s="533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  <c r="T91" s="468"/>
      <c r="U91" s="468"/>
      <c r="V91" s="468"/>
      <c r="W91" s="468"/>
      <c r="X91" s="468"/>
      <c r="Y91" s="468"/>
      <c r="Z91" s="468"/>
      <c r="AA91" s="468"/>
      <c r="AB91" s="468"/>
    </row>
    <row r="92" spans="1:28" ht="13.5" thickTop="1">
      <c r="A92" s="465"/>
      <c r="B92" s="501"/>
      <c r="C92" s="471"/>
      <c r="D92" s="472"/>
      <c r="E92" s="466"/>
      <c r="F92" s="467"/>
      <c r="G92" s="465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  <c r="T92" s="468"/>
      <c r="U92" s="468"/>
      <c r="V92" s="468"/>
      <c r="W92" s="468"/>
      <c r="X92" s="468"/>
      <c r="Y92" s="468"/>
      <c r="Z92" s="468"/>
      <c r="AA92" s="468"/>
      <c r="AB92" s="468"/>
    </row>
    <row r="93" spans="1:28" ht="16.5" thickBot="1">
      <c r="A93" s="465"/>
      <c r="B93" s="502" t="s">
        <v>212</v>
      </c>
      <c r="C93" s="471"/>
      <c r="D93" s="472"/>
      <c r="E93" s="503"/>
      <c r="F93" s="467"/>
      <c r="G93" s="504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8"/>
      <c r="S93" s="468"/>
      <c r="T93" s="468"/>
      <c r="U93" s="468"/>
      <c r="V93" s="468"/>
      <c r="W93" s="468"/>
      <c r="X93" s="468"/>
      <c r="Y93" s="468"/>
      <c r="Z93" s="468"/>
      <c r="AA93" s="468"/>
      <c r="AB93" s="468"/>
    </row>
    <row r="94" spans="1:28" ht="13.5" thickTop="1">
      <c r="A94" s="465"/>
      <c r="B94" s="505"/>
      <c r="C94" s="506" t="s">
        <v>120</v>
      </c>
      <c r="D94" s="507" t="s">
        <v>213</v>
      </c>
      <c r="E94" s="508" t="str">
        <f>$E$3</f>
        <v>Specific</v>
      </c>
      <c r="F94" s="476" t="s">
        <v>122</v>
      </c>
      <c r="G94" s="477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8"/>
      <c r="S94" s="468"/>
      <c r="T94" s="468"/>
      <c r="U94" s="468"/>
      <c r="V94" s="468"/>
      <c r="W94" s="468"/>
      <c r="X94" s="468"/>
      <c r="Y94" s="468"/>
      <c r="Z94" s="468"/>
      <c r="AA94" s="468"/>
      <c r="AB94" s="468"/>
    </row>
    <row r="95" spans="1:28">
      <c r="A95" s="465"/>
      <c r="B95" s="509" t="s">
        <v>214</v>
      </c>
      <c r="C95" s="510" t="s">
        <v>123</v>
      </c>
      <c r="D95" s="511" t="s">
        <v>124</v>
      </c>
      <c r="E95" s="512" t="str">
        <f>$E$4</f>
        <v>Weight</v>
      </c>
      <c r="F95" s="481" t="s">
        <v>125</v>
      </c>
      <c r="G95" s="482" t="s">
        <v>126</v>
      </c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  <c r="T95" s="468"/>
      <c r="U95" s="468"/>
      <c r="V95" s="468"/>
      <c r="W95" s="468"/>
      <c r="X95" s="468"/>
      <c r="Y95" s="468"/>
      <c r="Z95" s="468"/>
      <c r="AA95" s="468"/>
      <c r="AB95" s="468"/>
    </row>
    <row r="96" spans="1:28">
      <c r="A96" s="465"/>
      <c r="B96" s="509" t="s">
        <v>135</v>
      </c>
      <c r="C96" s="510" t="s">
        <v>128</v>
      </c>
      <c r="D96" s="513" t="s">
        <v>129</v>
      </c>
      <c r="E96" s="514" t="str">
        <f>$E$5</f>
        <v>g</v>
      </c>
      <c r="F96" s="485" t="str">
        <f>$F$5</f>
        <v>s / g</v>
      </c>
      <c r="G96" s="486" t="s">
        <v>215</v>
      </c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8"/>
      <c r="S96" s="468"/>
      <c r="T96" s="468"/>
      <c r="U96" s="468"/>
      <c r="V96" s="468"/>
      <c r="W96" s="468"/>
      <c r="X96" s="468"/>
      <c r="Y96" s="468"/>
      <c r="Z96" s="468"/>
      <c r="AA96" s="468"/>
      <c r="AB96" s="468"/>
    </row>
    <row r="97" spans="1:28">
      <c r="A97" s="465"/>
      <c r="B97" s="525"/>
      <c r="C97" s="516" t="str">
        <f>$C$6</f>
        <v>msi</v>
      </c>
      <c r="D97" s="517" t="str">
        <f>$D$6</f>
        <v>ksi</v>
      </c>
      <c r="E97" s="518" t="str">
        <f>$E$6</f>
        <v>lbs/in^3</v>
      </c>
      <c r="F97" s="490" t="str">
        <f>$F$6</f>
        <v>in</v>
      </c>
      <c r="G97" s="491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  <c r="T97" s="468"/>
      <c r="U97" s="468"/>
      <c r="V97" s="468"/>
      <c r="W97" s="468"/>
      <c r="X97" s="468"/>
      <c r="Y97" s="468"/>
      <c r="Z97" s="468"/>
      <c r="AA97" s="468"/>
      <c r="AB97" s="468"/>
    </row>
    <row r="98" spans="1:28">
      <c r="A98" s="465"/>
      <c r="B98" s="213" t="s">
        <v>216</v>
      </c>
      <c r="C98" s="214">
        <f>1.7*1000000*Conv_E</f>
        <v>1700000</v>
      </c>
      <c r="D98" s="215">
        <f>Conv_s*1000</f>
        <v>1000</v>
      </c>
      <c r="E98" s="216">
        <f>Conv_r*0.022</f>
        <v>2.1999999999999999E-2</v>
      </c>
      <c r="F98" s="217">
        <f>D98/E98/Conv_x</f>
        <v>45454.545454545456</v>
      </c>
      <c r="G98" s="218"/>
      <c r="H98" s="468"/>
      <c r="I98" s="468"/>
      <c r="J98" s="468"/>
      <c r="K98" s="468"/>
      <c r="L98" s="468"/>
      <c r="M98" s="468"/>
      <c r="N98" s="468"/>
      <c r="O98" s="468"/>
      <c r="P98" s="468"/>
      <c r="Q98" s="468"/>
      <c r="R98" s="468"/>
      <c r="S98" s="468"/>
      <c r="T98" s="468"/>
      <c r="U98" s="468"/>
      <c r="V98" s="468"/>
      <c r="W98" s="468"/>
      <c r="X98" s="468"/>
      <c r="Y98" s="468"/>
      <c r="Z98" s="468"/>
      <c r="AA98" s="468"/>
      <c r="AB98" s="468"/>
    </row>
    <row r="99" spans="1:28">
      <c r="A99" s="465"/>
      <c r="B99" s="213" t="s">
        <v>217</v>
      </c>
      <c r="C99" s="214">
        <f>1300000*Conv_E</f>
        <v>1300000</v>
      </c>
      <c r="D99" s="215">
        <f>Conv_s*725</f>
        <v>725</v>
      </c>
      <c r="E99" s="216">
        <f>Conv_r*0.022</f>
        <v>2.1999999999999999E-2</v>
      </c>
      <c r="F99" s="217">
        <f>D99/E99/Conv_x</f>
        <v>32954.545454545456</v>
      </c>
      <c r="G99" s="218"/>
      <c r="H99" s="468"/>
      <c r="I99" s="468"/>
      <c r="J99" s="468"/>
      <c r="K99" s="468"/>
      <c r="L99" s="468"/>
      <c r="M99" s="468"/>
      <c r="N99" s="468"/>
      <c r="O99" s="468"/>
      <c r="P99" s="468"/>
      <c r="Q99" s="468"/>
      <c r="R99" s="468"/>
      <c r="S99" s="468"/>
      <c r="T99" s="468"/>
      <c r="U99" s="468"/>
      <c r="V99" s="468"/>
      <c r="W99" s="468"/>
      <c r="X99" s="468"/>
      <c r="Y99" s="468"/>
      <c r="Z99" s="468"/>
      <c r="AA99" s="468"/>
      <c r="AB99" s="468"/>
    </row>
    <row r="100" spans="1:28">
      <c r="A100" s="465"/>
      <c r="B100" s="213" t="s">
        <v>218</v>
      </c>
      <c r="C100" s="214">
        <f>1.6*1000000*Conv_E</f>
        <v>1600000</v>
      </c>
      <c r="D100" s="215">
        <f>Conv_s*900</f>
        <v>900</v>
      </c>
      <c r="E100" s="216">
        <f>Conv_r*0.019</f>
        <v>1.9E-2</v>
      </c>
      <c r="F100" s="217">
        <f>D100/E100/Conv_x</f>
        <v>47368.42105263158</v>
      </c>
      <c r="G100" s="218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8"/>
      <c r="S100" s="468"/>
      <c r="T100" s="468"/>
      <c r="U100" s="468"/>
      <c r="V100" s="468"/>
      <c r="W100" s="468"/>
      <c r="X100" s="468"/>
      <c r="Y100" s="468"/>
      <c r="Z100" s="468"/>
      <c r="AA100" s="468"/>
      <c r="AB100" s="468"/>
    </row>
    <row r="101" spans="1:28">
      <c r="A101" s="465"/>
      <c r="B101" s="213" t="s">
        <v>219</v>
      </c>
      <c r="C101" s="214">
        <f>1.4*1000000*Conv_E</f>
        <v>1400000</v>
      </c>
      <c r="D101" s="215">
        <f>Conv_s*800</f>
        <v>800</v>
      </c>
      <c r="E101" s="216">
        <f>Conv_r*0.016</f>
        <v>1.6E-2</v>
      </c>
      <c r="F101" s="217">
        <f>D101/E101/Conv_x</f>
        <v>50000</v>
      </c>
      <c r="G101" s="21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8"/>
      <c r="R101" s="468"/>
      <c r="S101" s="468"/>
      <c r="T101" s="468"/>
      <c r="U101" s="468"/>
      <c r="V101" s="468"/>
      <c r="W101" s="468"/>
      <c r="X101" s="468"/>
      <c r="Y101" s="468"/>
      <c r="Z101" s="468"/>
      <c r="AA101" s="468"/>
      <c r="AB101" s="468"/>
    </row>
    <row r="102" spans="1:28" ht="13.5" thickBot="1">
      <c r="A102" s="465"/>
      <c r="B102" s="219" t="s">
        <v>220</v>
      </c>
      <c r="C102" s="220">
        <f>1.3*1000000*Conv_E</f>
        <v>1300000</v>
      </c>
      <c r="D102" s="221">
        <f>Conv_s*675</f>
        <v>675</v>
      </c>
      <c r="E102" s="222">
        <f>Conv_r*0.016</f>
        <v>1.6E-2</v>
      </c>
      <c r="F102" s="223">
        <f>D102/E102/Conv_x</f>
        <v>42187.5</v>
      </c>
      <c r="G102" s="224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  <c r="T102" s="468"/>
      <c r="U102" s="468"/>
      <c r="V102" s="468"/>
      <c r="W102" s="468"/>
      <c r="X102" s="468"/>
      <c r="Y102" s="468"/>
      <c r="Z102" s="468"/>
      <c r="AA102" s="468"/>
      <c r="AB102" s="468"/>
    </row>
    <row r="103" spans="1:28" ht="13.5" thickTop="1">
      <c r="A103" s="465"/>
      <c r="B103" s="534"/>
      <c r="C103" s="535"/>
      <c r="D103" s="536"/>
      <c r="E103" s="537"/>
      <c r="F103" s="538"/>
      <c r="G103" s="539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</row>
    <row r="104" spans="1:28">
      <c r="A104" s="465"/>
      <c r="B104" s="501"/>
      <c r="C104" s="471"/>
      <c r="D104" s="472"/>
      <c r="E104" s="466"/>
      <c r="F104" s="467"/>
      <c r="G104" s="465"/>
      <c r="H104" s="468"/>
      <c r="I104" s="468"/>
      <c r="J104" s="468"/>
      <c r="K104" s="468"/>
      <c r="L104" s="468"/>
      <c r="M104" s="468"/>
      <c r="N104" s="468"/>
      <c r="O104" s="468"/>
      <c r="P104" s="468"/>
      <c r="Q104" s="468"/>
      <c r="R104" s="468"/>
      <c r="S104" s="468"/>
      <c r="T104" s="468"/>
      <c r="U104" s="468"/>
      <c r="V104" s="468"/>
      <c r="W104" s="468"/>
      <c r="X104" s="468"/>
      <c r="Y104" s="468"/>
      <c r="Z104" s="468"/>
      <c r="AA104" s="468"/>
      <c r="AB104" s="468"/>
    </row>
    <row r="105" spans="1:28" ht="16.5" thickBot="1">
      <c r="A105" s="465"/>
      <c r="B105" s="502" t="s">
        <v>221</v>
      </c>
      <c r="C105" s="471"/>
      <c r="D105" s="472"/>
      <c r="E105" s="503"/>
      <c r="F105" s="467"/>
      <c r="G105" s="504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  <c r="T105" s="468"/>
      <c r="U105" s="468"/>
      <c r="V105" s="468"/>
      <c r="W105" s="468"/>
      <c r="X105" s="468"/>
      <c r="Y105" s="468"/>
      <c r="Z105" s="468"/>
      <c r="AA105" s="468"/>
      <c r="AB105" s="468"/>
    </row>
    <row r="106" spans="1:28" ht="13.5" thickTop="1">
      <c r="A106" s="465"/>
      <c r="B106" s="505"/>
      <c r="C106" s="506" t="s">
        <v>120</v>
      </c>
      <c r="D106" s="507" t="s">
        <v>121</v>
      </c>
      <c r="E106" s="508" t="str">
        <f>$E$3</f>
        <v>Specific</v>
      </c>
      <c r="F106" s="476" t="s">
        <v>122</v>
      </c>
      <c r="G106" s="477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  <c r="T106" s="468"/>
      <c r="U106" s="468"/>
      <c r="V106" s="468"/>
      <c r="W106" s="468"/>
      <c r="X106" s="468"/>
      <c r="Y106" s="468"/>
      <c r="Z106" s="468"/>
      <c r="AA106" s="468"/>
      <c r="AB106" s="468"/>
    </row>
    <row r="107" spans="1:28">
      <c r="A107" s="465"/>
      <c r="B107" s="509" t="s">
        <v>222</v>
      </c>
      <c r="C107" s="510" t="s">
        <v>123</v>
      </c>
      <c r="D107" s="511" t="s">
        <v>124</v>
      </c>
      <c r="E107" s="512" t="str">
        <f>$E$4</f>
        <v>Weight</v>
      </c>
      <c r="F107" s="481" t="s">
        <v>125</v>
      </c>
      <c r="G107" s="482" t="s">
        <v>126</v>
      </c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  <c r="T107" s="468"/>
      <c r="U107" s="468"/>
      <c r="V107" s="468"/>
      <c r="W107" s="468"/>
      <c r="X107" s="468"/>
      <c r="Y107" s="468"/>
      <c r="Z107" s="468"/>
      <c r="AA107" s="468"/>
      <c r="AB107" s="468"/>
    </row>
    <row r="108" spans="1:28">
      <c r="A108" s="465"/>
      <c r="B108" s="509" t="s">
        <v>135</v>
      </c>
      <c r="C108" s="510" t="s">
        <v>128</v>
      </c>
      <c r="D108" s="513" t="s">
        <v>129</v>
      </c>
      <c r="E108" s="514" t="str">
        <f>$E$5</f>
        <v>g</v>
      </c>
      <c r="F108" s="485" t="str">
        <f>$F$5</f>
        <v>s / g</v>
      </c>
      <c r="G108" s="486" t="s">
        <v>215</v>
      </c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  <c r="T108" s="468"/>
      <c r="U108" s="468"/>
      <c r="V108" s="468"/>
      <c r="W108" s="468"/>
      <c r="X108" s="468"/>
      <c r="Y108" s="468"/>
      <c r="Z108" s="468"/>
      <c r="AA108" s="468"/>
      <c r="AB108" s="468"/>
    </row>
    <row r="109" spans="1:28">
      <c r="A109" s="465"/>
      <c r="B109" s="515" t="s">
        <v>223</v>
      </c>
      <c r="C109" s="516" t="str">
        <f>$C$6</f>
        <v>msi</v>
      </c>
      <c r="D109" s="517" t="str">
        <f>$D$6</f>
        <v>ksi</v>
      </c>
      <c r="E109" s="518" t="str">
        <f>$E$6</f>
        <v>lbs/in^3</v>
      </c>
      <c r="F109" s="490" t="str">
        <f>$F$6</f>
        <v>in</v>
      </c>
      <c r="G109" s="491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  <c r="T109" s="468"/>
      <c r="U109" s="468"/>
      <c r="V109" s="468"/>
      <c r="W109" s="468"/>
      <c r="X109" s="468"/>
      <c r="Y109" s="468"/>
      <c r="Z109" s="468"/>
      <c r="AA109" s="468"/>
      <c r="AB109" s="468"/>
    </row>
    <row r="110" spans="1:28">
      <c r="A110" s="465"/>
      <c r="B110" s="187" t="s">
        <v>224</v>
      </c>
      <c r="C110" s="188">
        <f>2.3*1000000*Conv_E</f>
        <v>2300000</v>
      </c>
      <c r="D110" s="189">
        <f>Conv_s*24000</f>
        <v>24000</v>
      </c>
      <c r="E110" s="190">
        <f>Conv_r*0.076</f>
        <v>7.5999999999999998E-2</v>
      </c>
      <c r="F110" s="191">
        <f>D110/E110/Conv_x</f>
        <v>315789.47368421056</v>
      </c>
      <c r="G110" s="192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  <c r="T110" s="468"/>
      <c r="U110" s="468"/>
      <c r="V110" s="468"/>
      <c r="W110" s="468"/>
      <c r="X110" s="468"/>
      <c r="Y110" s="468"/>
      <c r="Z110" s="468"/>
      <c r="AA110" s="468"/>
      <c r="AB110" s="468"/>
    </row>
    <row r="111" spans="1:28">
      <c r="A111" s="465"/>
      <c r="B111" s="187" t="s">
        <v>225</v>
      </c>
      <c r="C111" s="188">
        <f>4400000*Conv_E</f>
        <v>4400000</v>
      </c>
      <c r="D111" s="189">
        <f>Conv_s*43500</f>
        <v>43500</v>
      </c>
      <c r="E111" s="190">
        <f>Conv_r*0.076</f>
        <v>7.5999999999999998E-2</v>
      </c>
      <c r="F111" s="191">
        <f>D111/E111/Conv_x</f>
        <v>572368.42105263157</v>
      </c>
      <c r="G111" s="192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  <c r="T111" s="468"/>
      <c r="U111" s="468"/>
      <c r="V111" s="468"/>
      <c r="W111" s="468"/>
      <c r="X111" s="468"/>
      <c r="Y111" s="468"/>
      <c r="Z111" s="468"/>
      <c r="AA111" s="468"/>
      <c r="AB111" s="468"/>
    </row>
    <row r="112" spans="1:28">
      <c r="A112" s="465"/>
      <c r="B112" s="225" t="s">
        <v>226</v>
      </c>
      <c r="C112" s="226">
        <f>15*1000000*Conv_E</f>
        <v>15000000</v>
      </c>
      <c r="D112" s="227">
        <f>Conv_s*72000</f>
        <v>72000</v>
      </c>
      <c r="E112" s="228">
        <f>Conv_r*0.055</f>
        <v>5.5E-2</v>
      </c>
      <c r="F112" s="229">
        <f>D112/E112/Conv_x</f>
        <v>1309090.9090909092</v>
      </c>
      <c r="G112" s="230"/>
      <c r="H112" s="468"/>
      <c r="I112" s="468"/>
      <c r="J112" s="468"/>
      <c r="K112" s="468"/>
      <c r="L112" s="468"/>
      <c r="M112" s="468"/>
      <c r="N112" s="468"/>
      <c r="O112" s="468"/>
      <c r="P112" s="468"/>
      <c r="Q112" s="468"/>
      <c r="R112" s="468"/>
      <c r="S112" s="468"/>
      <c r="T112" s="468"/>
      <c r="U112" s="468"/>
      <c r="V112" s="468"/>
      <c r="W112" s="468"/>
      <c r="X112" s="468"/>
      <c r="Y112" s="468"/>
      <c r="Z112" s="468"/>
      <c r="AA112" s="468"/>
      <c r="AB112" s="468"/>
    </row>
    <row r="113" spans="1:28" ht="13.5" thickBot="1">
      <c r="A113" s="465"/>
      <c r="B113" s="231" t="s">
        <v>227</v>
      </c>
      <c r="C113" s="232">
        <f>4.4*1000000*Conv_E</f>
        <v>4400000</v>
      </c>
      <c r="D113" s="233">
        <f>Conv_s*23000</f>
        <v>23000</v>
      </c>
      <c r="E113" s="234">
        <f>Conv_r*0.05</f>
        <v>0.05</v>
      </c>
      <c r="F113" s="235">
        <f>D113/E113/Conv_x</f>
        <v>460000</v>
      </c>
      <c r="G113" s="236"/>
      <c r="H113" s="468"/>
      <c r="I113" s="468"/>
      <c r="J113" s="468"/>
      <c r="K113" s="468"/>
      <c r="L113" s="468"/>
      <c r="M113" s="468"/>
      <c r="N113" s="468"/>
      <c r="O113" s="468"/>
      <c r="P113" s="468"/>
      <c r="Q113" s="468"/>
      <c r="R113" s="468"/>
      <c r="S113" s="468"/>
      <c r="T113" s="468"/>
      <c r="U113" s="468"/>
      <c r="V113" s="468"/>
      <c r="W113" s="468"/>
      <c r="X113" s="468"/>
      <c r="Y113" s="468"/>
      <c r="Z113" s="468"/>
      <c r="AA113" s="468"/>
      <c r="AB113" s="468"/>
    </row>
    <row r="114" spans="1:28" ht="13.5" thickTop="1">
      <c r="A114" s="465"/>
      <c r="B114" s="501"/>
      <c r="C114" s="471"/>
      <c r="D114" s="472"/>
      <c r="E114" s="466"/>
      <c r="F114" s="467"/>
      <c r="G114" s="465"/>
      <c r="H114" s="468"/>
      <c r="I114" s="468"/>
      <c r="J114" s="468"/>
      <c r="K114" s="468"/>
      <c r="L114" s="468"/>
      <c r="M114" s="468"/>
      <c r="N114" s="468"/>
      <c r="O114" s="468"/>
      <c r="P114" s="468"/>
      <c r="Q114" s="468"/>
      <c r="R114" s="468"/>
      <c r="S114" s="468"/>
      <c r="T114" s="468"/>
      <c r="U114" s="468"/>
      <c r="V114" s="468"/>
      <c r="W114" s="468"/>
      <c r="X114" s="468"/>
      <c r="Y114" s="468"/>
      <c r="Z114" s="468"/>
      <c r="AA114" s="468"/>
      <c r="AB114" s="468"/>
    </row>
    <row r="115" spans="1:28" ht="16.5" thickBot="1">
      <c r="A115" s="465"/>
      <c r="B115" s="502" t="s">
        <v>228</v>
      </c>
      <c r="C115" s="471"/>
      <c r="D115" s="472"/>
      <c r="E115" s="503"/>
      <c r="F115" s="467"/>
      <c r="G115" s="504"/>
      <c r="H115" s="468"/>
      <c r="I115" s="468"/>
      <c r="J115" s="468"/>
      <c r="K115" s="468"/>
      <c r="L115" s="468"/>
      <c r="M115" s="468"/>
      <c r="N115" s="468"/>
      <c r="O115" s="468"/>
      <c r="P115" s="468"/>
      <c r="Q115" s="468"/>
      <c r="R115" s="468"/>
      <c r="S115" s="468"/>
      <c r="T115" s="468"/>
      <c r="U115" s="468"/>
      <c r="V115" s="468"/>
      <c r="W115" s="468"/>
      <c r="X115" s="468"/>
      <c r="Y115" s="468"/>
      <c r="Z115" s="468"/>
      <c r="AA115" s="468"/>
      <c r="AB115" s="468"/>
    </row>
    <row r="116" spans="1:28" ht="13.5" thickTop="1">
      <c r="A116" s="465"/>
      <c r="B116" s="505"/>
      <c r="C116" s="506" t="s">
        <v>120</v>
      </c>
      <c r="D116" s="507" t="s">
        <v>121</v>
      </c>
      <c r="E116" s="508" t="str">
        <f>$E$3</f>
        <v>Specific</v>
      </c>
      <c r="F116" s="476" t="s">
        <v>122</v>
      </c>
      <c r="G116" s="477"/>
      <c r="H116" s="468"/>
      <c r="I116" s="468"/>
      <c r="J116" s="468"/>
      <c r="K116" s="468"/>
      <c r="L116" s="468"/>
      <c r="M116" s="468"/>
      <c r="N116" s="468"/>
      <c r="O116" s="468"/>
      <c r="P116" s="468"/>
      <c r="Q116" s="468"/>
      <c r="R116" s="468"/>
      <c r="S116" s="468"/>
      <c r="T116" s="468"/>
      <c r="U116" s="468"/>
      <c r="V116" s="468"/>
      <c r="W116" s="468"/>
      <c r="X116" s="468"/>
      <c r="Y116" s="468"/>
      <c r="Z116" s="468"/>
      <c r="AA116" s="468"/>
      <c r="AB116" s="468"/>
    </row>
    <row r="117" spans="1:28">
      <c r="A117" s="465"/>
      <c r="B117" s="509" t="s">
        <v>222</v>
      </c>
      <c r="C117" s="510" t="s">
        <v>123</v>
      </c>
      <c r="D117" s="511" t="s">
        <v>124</v>
      </c>
      <c r="E117" s="512" t="str">
        <f>$E$4</f>
        <v>Weight</v>
      </c>
      <c r="F117" s="481" t="s">
        <v>125</v>
      </c>
      <c r="G117" s="482" t="s">
        <v>126</v>
      </c>
      <c r="H117" s="468"/>
      <c r="I117" s="468"/>
      <c r="J117" s="468"/>
      <c r="K117" s="468"/>
      <c r="L117" s="468"/>
      <c r="M117" s="468"/>
      <c r="N117" s="468"/>
      <c r="O117" s="468"/>
      <c r="P117" s="468"/>
      <c r="Q117" s="468"/>
      <c r="R117" s="468"/>
      <c r="S117" s="468"/>
      <c r="T117" s="468"/>
      <c r="U117" s="468"/>
      <c r="V117" s="468"/>
      <c r="W117" s="468"/>
      <c r="X117" s="468"/>
      <c r="Y117" s="468"/>
      <c r="Z117" s="468"/>
      <c r="AA117" s="468"/>
      <c r="AB117" s="468"/>
    </row>
    <row r="118" spans="1:28">
      <c r="A118" s="465"/>
      <c r="B118" s="509" t="s">
        <v>135</v>
      </c>
      <c r="C118" s="510" t="s">
        <v>128</v>
      </c>
      <c r="D118" s="513" t="s">
        <v>129</v>
      </c>
      <c r="E118" s="514" t="str">
        <f>$E$5</f>
        <v>g</v>
      </c>
      <c r="F118" s="485" t="str">
        <f>$F$5</f>
        <v>s / g</v>
      </c>
      <c r="G118" s="486" t="s">
        <v>215</v>
      </c>
      <c r="H118" s="468"/>
      <c r="I118" s="468"/>
      <c r="J118" s="468"/>
      <c r="K118" s="468"/>
      <c r="L118" s="468"/>
      <c r="M118" s="468"/>
      <c r="N118" s="468"/>
      <c r="O118" s="468"/>
      <c r="P118" s="468"/>
      <c r="Q118" s="468"/>
      <c r="R118" s="468"/>
      <c r="S118" s="468"/>
      <c r="T118" s="468"/>
      <c r="U118" s="468"/>
      <c r="V118" s="468"/>
      <c r="W118" s="468"/>
      <c r="X118" s="468"/>
      <c r="Y118" s="468"/>
      <c r="Z118" s="468"/>
      <c r="AA118" s="468"/>
      <c r="AB118" s="468"/>
    </row>
    <row r="119" spans="1:28">
      <c r="A119" s="465"/>
      <c r="B119" s="515"/>
      <c r="C119" s="516" t="str">
        <f>$C$6</f>
        <v>msi</v>
      </c>
      <c r="D119" s="517" t="str">
        <f>$D$6</f>
        <v>ksi</v>
      </c>
      <c r="E119" s="518" t="str">
        <f>$E$6</f>
        <v>lbs/in^3</v>
      </c>
      <c r="F119" s="490" t="str">
        <f>$F$6</f>
        <v>in</v>
      </c>
      <c r="G119" s="491"/>
      <c r="H119" s="468"/>
      <c r="I119" s="468"/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  <c r="T119" s="468"/>
      <c r="U119" s="468"/>
      <c r="V119" s="468"/>
      <c r="W119" s="468"/>
      <c r="X119" s="468"/>
      <c r="Y119" s="468"/>
      <c r="Z119" s="468"/>
      <c r="AA119" s="468"/>
      <c r="AB119" s="468"/>
    </row>
    <row r="120" spans="1:28">
      <c r="A120" s="465"/>
      <c r="B120" s="237" t="s">
        <v>229</v>
      </c>
      <c r="C120" s="238"/>
      <c r="D120" s="239"/>
      <c r="E120" s="240"/>
      <c r="F120" s="241"/>
      <c r="G120" s="192"/>
      <c r="H120" s="468"/>
      <c r="I120" s="468"/>
      <c r="J120" s="468"/>
      <c r="K120" s="468"/>
      <c r="L120" s="468"/>
      <c r="M120" s="468"/>
      <c r="N120" s="468"/>
      <c r="O120" s="468"/>
      <c r="P120" s="468"/>
      <c r="Q120" s="468"/>
      <c r="R120" s="468"/>
      <c r="S120" s="468"/>
      <c r="T120" s="468"/>
      <c r="U120" s="468"/>
      <c r="V120" s="468"/>
      <c r="W120" s="468"/>
      <c r="X120" s="468"/>
      <c r="Y120" s="468"/>
      <c r="Z120" s="468"/>
      <c r="AA120" s="468"/>
      <c r="AB120" s="468"/>
    </row>
    <row r="121" spans="1:28">
      <c r="A121" s="465"/>
      <c r="B121" s="242" t="s">
        <v>230</v>
      </c>
      <c r="C121" s="243">
        <f>3.98*1000000*Conv_E</f>
        <v>3980000</v>
      </c>
      <c r="D121" s="244">
        <f>Conv_s*66.1*1000</f>
        <v>66100</v>
      </c>
      <c r="E121" s="190">
        <f>E$111</f>
        <v>7.5999999999999998E-2</v>
      </c>
      <c r="F121" s="245">
        <f>D121/E121/Conv_x</f>
        <v>869736.84210526315</v>
      </c>
      <c r="G121" s="246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  <c r="T121" s="468"/>
      <c r="U121" s="468"/>
      <c r="V121" s="468"/>
      <c r="W121" s="468"/>
      <c r="X121" s="468"/>
      <c r="Y121" s="468"/>
      <c r="Z121" s="468"/>
      <c r="AA121" s="468"/>
      <c r="AB121" s="468"/>
    </row>
    <row r="122" spans="1:28">
      <c r="A122" s="465"/>
      <c r="B122" s="242" t="s">
        <v>231</v>
      </c>
      <c r="C122" s="243">
        <f>4.37*1000000*Conv_E</f>
        <v>4370000</v>
      </c>
      <c r="D122" s="244">
        <f>Conv_s*68*1000</f>
        <v>68000</v>
      </c>
      <c r="E122" s="190">
        <f>E$111</f>
        <v>7.5999999999999998E-2</v>
      </c>
      <c r="F122" s="245">
        <f>D122/E122/Conv_x</f>
        <v>894736.84210526315</v>
      </c>
      <c r="G122" s="246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  <c r="T122" s="468"/>
      <c r="U122" s="468"/>
      <c r="V122" s="468"/>
      <c r="W122" s="468"/>
      <c r="X122" s="468"/>
      <c r="Y122" s="468"/>
      <c r="Z122" s="468"/>
      <c r="AA122" s="468"/>
      <c r="AB122" s="468"/>
    </row>
    <row r="123" spans="1:28">
      <c r="A123" s="465"/>
      <c r="B123" s="247" t="s">
        <v>232</v>
      </c>
      <c r="C123" s="248">
        <f>5.68*1000000*Conv_E</f>
        <v>5680000</v>
      </c>
      <c r="D123" s="249">
        <f>Conv_s*66*1000</f>
        <v>66000</v>
      </c>
      <c r="E123" s="250">
        <f>E$111</f>
        <v>7.5999999999999998E-2</v>
      </c>
      <c r="F123" s="251">
        <f>D123/E123/Conv_x</f>
        <v>868421.05263157899</v>
      </c>
      <c r="G123" s="252"/>
      <c r="H123" s="468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  <c r="T123" s="468"/>
      <c r="U123" s="468"/>
      <c r="V123" s="468"/>
      <c r="W123" s="468"/>
      <c r="X123" s="468"/>
      <c r="Y123" s="468"/>
      <c r="Z123" s="468"/>
      <c r="AA123" s="468"/>
      <c r="AB123" s="468"/>
    </row>
    <row r="124" spans="1:28">
      <c r="A124" s="465"/>
      <c r="B124" s="253" t="s">
        <v>233</v>
      </c>
      <c r="C124" s="254"/>
      <c r="D124" s="255"/>
      <c r="E124" s="256"/>
      <c r="F124" s="257"/>
      <c r="G124" s="258"/>
      <c r="H124" s="468"/>
      <c r="I124" s="468"/>
      <c r="J124" s="468"/>
      <c r="K124" s="468"/>
      <c r="L124" s="468"/>
      <c r="M124" s="468"/>
      <c r="N124" s="468"/>
      <c r="O124" s="468"/>
      <c r="P124" s="468"/>
      <c r="Q124" s="468"/>
      <c r="R124" s="468"/>
      <c r="S124" s="468"/>
      <c r="T124" s="468"/>
      <c r="U124" s="468"/>
      <c r="V124" s="468"/>
      <c r="W124" s="468"/>
      <c r="X124" s="468"/>
      <c r="Y124" s="468"/>
      <c r="Z124" s="468"/>
      <c r="AA124" s="468"/>
      <c r="AB124" s="468"/>
    </row>
    <row r="125" spans="1:28">
      <c r="A125" s="465"/>
      <c r="B125" s="259" t="s">
        <v>234</v>
      </c>
      <c r="C125" s="254">
        <f>3.9*1000000*Conv_E</f>
        <v>3900000</v>
      </c>
      <c r="D125" s="255">
        <f>Conv_s*32000</f>
        <v>32000</v>
      </c>
      <c r="E125" s="256">
        <f>E$113</f>
        <v>0.05</v>
      </c>
      <c r="F125" s="257">
        <f>D125/E125/Conv_x</f>
        <v>640000</v>
      </c>
      <c r="G125" s="25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  <c r="T125" s="468"/>
      <c r="U125" s="468"/>
      <c r="V125" s="468"/>
      <c r="W125" s="468"/>
      <c r="X125" s="468"/>
      <c r="Y125" s="468"/>
      <c r="Z125" s="468"/>
      <c r="AA125" s="468"/>
      <c r="AB125" s="468"/>
    </row>
    <row r="126" spans="1:28">
      <c r="A126" s="465"/>
      <c r="B126" s="259" t="s">
        <v>235</v>
      </c>
      <c r="C126" s="254">
        <f>3.88*1000000*Conv_E</f>
        <v>3880000</v>
      </c>
      <c r="D126" s="255">
        <f>Conv_s*28900</f>
        <v>28900</v>
      </c>
      <c r="E126" s="256">
        <f>E$113</f>
        <v>0.05</v>
      </c>
      <c r="F126" s="257">
        <f>D126/E126/Conv_x</f>
        <v>578000</v>
      </c>
      <c r="G126" s="25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  <c r="T126" s="468"/>
      <c r="U126" s="468"/>
      <c r="V126" s="468"/>
      <c r="W126" s="468"/>
      <c r="X126" s="468"/>
      <c r="Y126" s="468"/>
      <c r="Z126" s="468"/>
      <c r="AA126" s="468"/>
      <c r="AB126" s="468"/>
    </row>
    <row r="127" spans="1:28">
      <c r="A127" s="465"/>
      <c r="B127" s="259" t="s">
        <v>236</v>
      </c>
      <c r="C127" s="254">
        <f>4.07*1000000*Conv_E</f>
        <v>4070000.0000000005</v>
      </c>
      <c r="D127" s="255">
        <f>Conv_s*31000</f>
        <v>31000</v>
      </c>
      <c r="E127" s="256">
        <f>E$113</f>
        <v>0.05</v>
      </c>
      <c r="F127" s="257">
        <f>D127/E127/Conv_x</f>
        <v>620000</v>
      </c>
      <c r="G127" s="25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  <c r="T127" s="468"/>
      <c r="U127" s="468"/>
      <c r="V127" s="468"/>
      <c r="W127" s="468"/>
      <c r="X127" s="468"/>
      <c r="Y127" s="468"/>
      <c r="Z127" s="468"/>
      <c r="AA127" s="468"/>
      <c r="AB127" s="468"/>
    </row>
    <row r="128" spans="1:28">
      <c r="A128" s="465"/>
      <c r="B128" s="260" t="s">
        <v>237</v>
      </c>
      <c r="C128" s="261">
        <f>2.79*1000000*Conv_E</f>
        <v>2790000</v>
      </c>
      <c r="D128" s="262">
        <f>Conv_s*22500</f>
        <v>22500</v>
      </c>
      <c r="E128" s="263">
        <f>E$113</f>
        <v>0.05</v>
      </c>
      <c r="F128" s="264">
        <f>D128/E128/Conv_x</f>
        <v>450000</v>
      </c>
      <c r="G128" s="265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  <c r="T128" s="468"/>
      <c r="U128" s="468"/>
      <c r="V128" s="468"/>
      <c r="W128" s="468"/>
      <c r="X128" s="468"/>
      <c r="Y128" s="468"/>
      <c r="Z128" s="468"/>
      <c r="AA128" s="468"/>
      <c r="AB128" s="468"/>
    </row>
    <row r="129" spans="1:28">
      <c r="A129" s="465"/>
      <c r="B129" s="266" t="s">
        <v>238</v>
      </c>
      <c r="C129" s="267"/>
      <c r="D129" s="268"/>
      <c r="E129" s="269"/>
      <c r="F129" s="270"/>
      <c r="G129" s="271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  <c r="T129" s="468"/>
      <c r="U129" s="468"/>
      <c r="V129" s="468"/>
      <c r="W129" s="468"/>
      <c r="X129" s="468"/>
      <c r="Y129" s="468"/>
      <c r="Z129" s="468"/>
      <c r="AA129" s="468"/>
      <c r="AB129" s="468"/>
    </row>
    <row r="130" spans="1:28">
      <c r="A130" s="465"/>
      <c r="B130" s="272" t="s">
        <v>239</v>
      </c>
      <c r="C130" s="273">
        <f>7.5*1000000*Conv_E</f>
        <v>7500000</v>
      </c>
      <c r="D130" s="274">
        <f>Conv_s*74900</f>
        <v>74900</v>
      </c>
      <c r="E130" s="275">
        <f>Conv_r*0.0567198478780129</f>
        <v>5.6719847878012902E-2</v>
      </c>
      <c r="F130" s="276">
        <f>D130/E130/Conv_x</f>
        <v>1320525.4034017697</v>
      </c>
      <c r="G130" s="277" t="s">
        <v>240</v>
      </c>
      <c r="H130" s="468"/>
      <c r="I130" s="468"/>
      <c r="J130" s="468"/>
      <c r="K130" s="468"/>
      <c r="L130" s="468"/>
      <c r="M130" s="468"/>
      <c r="N130" s="468"/>
      <c r="O130" s="468"/>
      <c r="P130" s="468"/>
      <c r="Q130" s="468"/>
      <c r="R130" s="468"/>
      <c r="S130" s="468"/>
      <c r="T130" s="468"/>
      <c r="U130" s="468"/>
      <c r="V130" s="468"/>
      <c r="W130" s="468"/>
      <c r="X130" s="468"/>
      <c r="Y130" s="468"/>
      <c r="Z130" s="468"/>
      <c r="AA130" s="468"/>
      <c r="AB130" s="468"/>
    </row>
    <row r="131" spans="1:28">
      <c r="A131" s="465"/>
      <c r="B131" s="278" t="s">
        <v>241</v>
      </c>
      <c r="C131" s="279"/>
      <c r="D131" s="280"/>
      <c r="E131" s="281"/>
      <c r="F131" s="282"/>
      <c r="G131" s="283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  <c r="T131" s="468"/>
      <c r="U131" s="468"/>
      <c r="V131" s="468"/>
      <c r="W131" s="468"/>
      <c r="X131" s="468"/>
      <c r="Y131" s="468"/>
      <c r="Z131" s="468"/>
      <c r="AA131" s="468"/>
      <c r="AB131" s="468"/>
    </row>
    <row r="132" spans="1:28">
      <c r="A132" s="465"/>
      <c r="B132" s="284" t="s">
        <v>242</v>
      </c>
      <c r="C132" s="279">
        <f>16*1000000*Conv_E</f>
        <v>16000000</v>
      </c>
      <c r="D132" s="280">
        <f>Conv_s*244000</f>
        <v>244000</v>
      </c>
      <c r="E132" s="281">
        <f>E133</f>
        <v>5.5816665586961703E-2</v>
      </c>
      <c r="F132" s="282">
        <f>D132/E132/Conv_x</f>
        <v>4371454.2499829354</v>
      </c>
      <c r="G132" s="283"/>
      <c r="H132" s="468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  <c r="T132" s="468"/>
      <c r="U132" s="468"/>
      <c r="V132" s="468"/>
      <c r="W132" s="468"/>
      <c r="X132" s="468"/>
      <c r="Y132" s="468"/>
      <c r="Z132" s="468"/>
      <c r="AA132" s="468"/>
      <c r="AB132" s="468"/>
    </row>
    <row r="133" spans="1:28" ht="13.5" thickBot="1">
      <c r="A133" s="465"/>
      <c r="B133" s="285" t="s">
        <v>243</v>
      </c>
      <c r="C133" s="286">
        <f>16*1000000*Conv_E</f>
        <v>16000000</v>
      </c>
      <c r="D133" s="287">
        <f>Conv_s*244000</f>
        <v>244000</v>
      </c>
      <c r="E133" s="288">
        <f>Conv_r*0.0558166655869617</f>
        <v>5.5816665586961703E-2</v>
      </c>
      <c r="F133" s="289">
        <f>D133/E133/Conv_x</f>
        <v>4371454.2499829354</v>
      </c>
      <c r="G133" s="290" t="s">
        <v>240</v>
      </c>
      <c r="H133" s="468"/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  <c r="T133" s="468"/>
      <c r="U133" s="468"/>
      <c r="V133" s="468"/>
      <c r="W133" s="468"/>
      <c r="X133" s="468"/>
      <c r="Y133" s="468"/>
      <c r="Z133" s="468"/>
      <c r="AA133" s="468"/>
      <c r="AB133" s="468"/>
    </row>
    <row r="134" spans="1:28" ht="13.5" thickTop="1">
      <c r="A134" s="468"/>
      <c r="B134" s="520"/>
      <c r="C134" s="540"/>
      <c r="D134" s="541"/>
      <c r="E134" s="542"/>
      <c r="F134" s="521"/>
      <c r="G134" s="468"/>
      <c r="H134" s="468"/>
      <c r="I134" s="468"/>
      <c r="J134" s="468"/>
      <c r="K134" s="468"/>
      <c r="L134" s="468"/>
      <c r="M134" s="468"/>
      <c r="N134" s="468"/>
      <c r="O134" s="468"/>
      <c r="P134" s="468"/>
      <c r="Q134" s="468"/>
      <c r="R134" s="468"/>
      <c r="S134" s="468"/>
      <c r="T134" s="468"/>
      <c r="U134" s="468"/>
      <c r="V134" s="468"/>
      <c r="W134" s="468"/>
      <c r="X134" s="468"/>
      <c r="Y134" s="468"/>
      <c r="Z134" s="468"/>
      <c r="AA134" s="468"/>
      <c r="AB134" s="468"/>
    </row>
    <row r="135" spans="1:28" ht="16.5" thickBot="1">
      <c r="A135" s="468"/>
      <c r="B135" s="543" t="s">
        <v>244</v>
      </c>
      <c r="C135" s="544"/>
      <c r="D135" s="544" t="str">
        <f ca="1">IF(IsValidUser, "","Please register, see registration sheet.")</f>
        <v/>
      </c>
      <c r="E135" s="545"/>
      <c r="F135" s="521"/>
      <c r="G135" s="546"/>
      <c r="H135" s="468"/>
      <c r="I135" s="468"/>
      <c r="J135" s="468"/>
      <c r="K135" s="468"/>
      <c r="L135" s="468"/>
      <c r="M135" s="468"/>
      <c r="N135" s="468"/>
      <c r="O135" s="468"/>
      <c r="P135" s="468"/>
      <c r="Q135" s="468"/>
      <c r="R135" s="468"/>
      <c r="S135" s="468"/>
      <c r="T135" s="468"/>
      <c r="U135" s="468"/>
      <c r="V135" s="468"/>
      <c r="W135" s="468"/>
      <c r="X135" s="468"/>
      <c r="Y135" s="468"/>
      <c r="Z135" s="468"/>
      <c r="AA135" s="468"/>
      <c r="AB135" s="468"/>
    </row>
    <row r="136" spans="1:28" ht="13.5" thickTop="1">
      <c r="A136" s="468"/>
      <c r="B136" s="547"/>
      <c r="C136" s="548" t="s">
        <v>120</v>
      </c>
      <c r="D136" s="549" t="s">
        <v>121</v>
      </c>
      <c r="E136" s="550" t="str">
        <f>$E$3</f>
        <v>Specific</v>
      </c>
      <c r="F136" s="551" t="s">
        <v>122</v>
      </c>
      <c r="G136" s="552"/>
      <c r="H136" s="468"/>
      <c r="I136" s="468"/>
      <c r="J136" s="468"/>
      <c r="K136" s="468"/>
      <c r="L136" s="468"/>
      <c r="M136" s="468"/>
      <c r="N136" s="468"/>
      <c r="O136" s="468"/>
      <c r="P136" s="468"/>
      <c r="Q136" s="468"/>
      <c r="R136" s="468"/>
      <c r="S136" s="468"/>
      <c r="T136" s="468"/>
      <c r="U136" s="468"/>
      <c r="V136" s="468"/>
      <c r="W136" s="468"/>
      <c r="X136" s="468"/>
      <c r="Y136" s="468"/>
      <c r="Z136" s="468"/>
      <c r="AA136" s="468"/>
      <c r="AB136" s="468"/>
    </row>
    <row r="137" spans="1:28">
      <c r="A137" s="468"/>
      <c r="B137" s="553" t="s">
        <v>127</v>
      </c>
      <c r="C137" s="554" t="s">
        <v>123</v>
      </c>
      <c r="D137" s="555" t="s">
        <v>124</v>
      </c>
      <c r="E137" s="556" t="str">
        <f>$E$4</f>
        <v>Weight</v>
      </c>
      <c r="F137" s="557" t="s">
        <v>125</v>
      </c>
      <c r="G137" s="558" t="s">
        <v>126</v>
      </c>
      <c r="H137" s="468"/>
      <c r="I137" s="468"/>
      <c r="J137" s="468"/>
      <c r="K137" s="468"/>
      <c r="L137" s="468"/>
      <c r="M137" s="468"/>
      <c r="N137" s="468"/>
      <c r="O137" s="468"/>
      <c r="P137" s="468"/>
      <c r="Q137" s="468"/>
      <c r="R137" s="468"/>
      <c r="S137" s="468"/>
      <c r="T137" s="468"/>
      <c r="U137" s="468"/>
      <c r="V137" s="468"/>
      <c r="W137" s="468"/>
      <c r="X137" s="468"/>
      <c r="Y137" s="468"/>
      <c r="Z137" s="468"/>
      <c r="AA137" s="468"/>
      <c r="AB137" s="468"/>
    </row>
    <row r="138" spans="1:28">
      <c r="A138" s="468"/>
      <c r="B138" s="553" t="s">
        <v>135</v>
      </c>
      <c r="C138" s="554" t="s">
        <v>128</v>
      </c>
      <c r="D138" s="559" t="s">
        <v>129</v>
      </c>
      <c r="E138" s="560" t="str">
        <f>$E$5</f>
        <v>g</v>
      </c>
      <c r="F138" s="561" t="str">
        <f>$F$5</f>
        <v>s / g</v>
      </c>
      <c r="G138" s="562"/>
      <c r="H138" s="468"/>
      <c r="I138" s="468"/>
      <c r="J138" s="468"/>
      <c r="K138" s="468"/>
      <c r="L138" s="468"/>
      <c r="M138" s="468"/>
      <c r="N138" s="468"/>
      <c r="O138" s="468"/>
      <c r="P138" s="468"/>
      <c r="Q138" s="468"/>
      <c r="R138" s="468"/>
      <c r="S138" s="468"/>
      <c r="T138" s="468"/>
      <c r="U138" s="468"/>
      <c r="V138" s="468"/>
      <c r="W138" s="468"/>
      <c r="X138" s="468"/>
      <c r="Y138" s="468"/>
      <c r="Z138" s="468"/>
      <c r="AA138" s="468"/>
      <c r="AB138" s="468"/>
    </row>
    <row r="139" spans="1:28">
      <c r="A139" s="468"/>
      <c r="B139" s="563"/>
      <c r="C139" s="564" t="str">
        <f>$C$6</f>
        <v>msi</v>
      </c>
      <c r="D139" s="565" t="str">
        <f>$D$6</f>
        <v>ksi</v>
      </c>
      <c r="E139" s="566" t="str">
        <f>$E$6</f>
        <v>lbs/in^3</v>
      </c>
      <c r="F139" s="567" t="str">
        <f>$F$6</f>
        <v>in</v>
      </c>
      <c r="G139" s="5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  <c r="T139" s="468"/>
      <c r="U139" s="468"/>
      <c r="V139" s="468"/>
      <c r="W139" s="468"/>
      <c r="X139" s="468"/>
      <c r="Y139" s="468"/>
      <c r="Z139" s="468"/>
      <c r="AA139" s="468"/>
      <c r="AB139" s="468"/>
    </row>
    <row r="140" spans="1:28">
      <c r="A140" s="468"/>
      <c r="B140" s="569" t="s">
        <v>245</v>
      </c>
      <c r="C140" s="570">
        <f>29*1000000*Conv_E</f>
        <v>29000000</v>
      </c>
      <c r="D140" s="571">
        <f>Conv_s*215000</f>
        <v>215000</v>
      </c>
      <c r="E140" s="572">
        <f>Conv_r*0.283</f>
        <v>0.28299999999999997</v>
      </c>
      <c r="F140" s="573">
        <f>D140/E140/Conv_x</f>
        <v>759717.3144876326</v>
      </c>
      <c r="G140" s="574" t="s">
        <v>246</v>
      </c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  <c r="T140" s="468"/>
      <c r="U140" s="468"/>
      <c r="V140" s="468"/>
      <c r="W140" s="468"/>
      <c r="X140" s="468"/>
      <c r="Y140" s="468"/>
      <c r="Z140" s="468"/>
      <c r="AA140" s="468"/>
      <c r="AB140" s="468"/>
    </row>
    <row r="141" spans="1:28">
      <c r="A141" s="468"/>
      <c r="B141" s="569" t="s">
        <v>247</v>
      </c>
      <c r="C141" s="570">
        <f>10.3*1000000*Conv_E</f>
        <v>10300000</v>
      </c>
      <c r="D141" s="571">
        <f>Conv_s*66000</f>
        <v>66000</v>
      </c>
      <c r="E141" s="572">
        <f>Conv_r*0.101</f>
        <v>0.10100000000000001</v>
      </c>
      <c r="F141" s="573">
        <f>D141/E141/Conv_x</f>
        <v>653465.34653465345</v>
      </c>
      <c r="G141" s="574" t="s">
        <v>248</v>
      </c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  <c r="T141" s="468"/>
      <c r="U141" s="468"/>
      <c r="V141" s="468"/>
      <c r="W141" s="468"/>
      <c r="X141" s="468"/>
      <c r="Y141" s="468"/>
      <c r="Z141" s="468"/>
      <c r="AA141" s="468"/>
      <c r="AB141" s="468"/>
    </row>
    <row r="142" spans="1:28">
      <c r="A142" s="468"/>
      <c r="B142" s="569" t="s">
        <v>249</v>
      </c>
      <c r="C142" s="570">
        <f>1.4*1000000*Conv_E</f>
        <v>1400000</v>
      </c>
      <c r="D142" s="571">
        <f>Conv_s*800</f>
        <v>800</v>
      </c>
      <c r="E142" s="572">
        <f>Conv_r*0.016</f>
        <v>1.6E-2</v>
      </c>
      <c r="F142" s="573">
        <f>D142/E142/Conv_x</f>
        <v>50000</v>
      </c>
      <c r="G142" s="574" t="s">
        <v>219</v>
      </c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  <c r="T142" s="468"/>
      <c r="U142" s="468"/>
      <c r="V142" s="468"/>
      <c r="W142" s="468"/>
      <c r="X142" s="468"/>
      <c r="Y142" s="468"/>
      <c r="Z142" s="468"/>
      <c r="AA142" s="468"/>
      <c r="AB142" s="468"/>
    </row>
    <row r="143" spans="1:28">
      <c r="A143" s="468"/>
      <c r="B143" s="569">
        <v>4</v>
      </c>
      <c r="C143" s="570">
        <f>16*1000000*Conv_E</f>
        <v>16000000</v>
      </c>
      <c r="D143" s="571">
        <f>Conv_s*244000</f>
        <v>244000</v>
      </c>
      <c r="E143" s="572">
        <f>E132</f>
        <v>5.5816665586961703E-2</v>
      </c>
      <c r="F143" s="573">
        <f>D143/E143/Conv_x</f>
        <v>4371454.2499829354</v>
      </c>
      <c r="G143" s="575" t="s">
        <v>250</v>
      </c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  <c r="T143" s="468"/>
      <c r="U143" s="468"/>
      <c r="V143" s="468"/>
      <c r="W143" s="468"/>
      <c r="X143" s="468"/>
      <c r="Y143" s="468"/>
      <c r="Z143" s="468"/>
      <c r="AA143" s="468"/>
      <c r="AB143" s="468"/>
    </row>
    <row r="144" spans="1:28">
      <c r="A144" s="468"/>
      <c r="B144" s="569"/>
      <c r="C144" s="570"/>
      <c r="D144" s="571"/>
      <c r="E144" s="572"/>
      <c r="F144" s="573"/>
      <c r="G144" s="576"/>
      <c r="H144" s="468"/>
      <c r="I144" s="468"/>
      <c r="J144" s="468"/>
      <c r="K144" s="468"/>
      <c r="L144" s="468"/>
      <c r="M144" s="468"/>
      <c r="N144" s="468"/>
      <c r="O144" s="468"/>
      <c r="P144" s="468"/>
      <c r="Q144" s="468"/>
      <c r="R144" s="468"/>
      <c r="S144" s="468"/>
      <c r="T144" s="468"/>
      <c r="U144" s="468"/>
      <c r="V144" s="468"/>
      <c r="W144" s="468"/>
      <c r="X144" s="468"/>
      <c r="Y144" s="468"/>
      <c r="Z144" s="468"/>
      <c r="AA144" s="468"/>
      <c r="AB144" s="468"/>
    </row>
    <row r="145" spans="1:28">
      <c r="A145" s="468"/>
      <c r="B145" s="569"/>
      <c r="C145" s="570"/>
      <c r="D145" s="571"/>
      <c r="E145" s="572"/>
      <c r="F145" s="573"/>
      <c r="G145" s="576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  <c r="T145" s="468"/>
      <c r="U145" s="468"/>
      <c r="V145" s="468"/>
      <c r="W145" s="468"/>
      <c r="X145" s="468"/>
      <c r="Y145" s="468"/>
      <c r="Z145" s="468"/>
      <c r="AA145" s="468"/>
      <c r="AB145" s="468"/>
    </row>
    <row r="146" spans="1:28">
      <c r="A146" s="468"/>
      <c r="B146" s="569"/>
      <c r="C146" s="570"/>
      <c r="D146" s="571"/>
      <c r="E146" s="572"/>
      <c r="F146" s="573"/>
      <c r="G146" s="576"/>
      <c r="H146" s="468"/>
      <c r="I146" s="468"/>
      <c r="J146" s="468"/>
      <c r="K146" s="468"/>
      <c r="L146" s="468"/>
      <c r="M146" s="468"/>
      <c r="N146" s="468"/>
      <c r="O146" s="468"/>
      <c r="P146" s="468"/>
      <c r="Q146" s="468"/>
      <c r="R146" s="468"/>
      <c r="S146" s="468"/>
      <c r="T146" s="468"/>
      <c r="U146" s="468"/>
      <c r="V146" s="468"/>
      <c r="W146" s="468"/>
      <c r="X146" s="468"/>
      <c r="Y146" s="468"/>
      <c r="Z146" s="468"/>
      <c r="AA146" s="468"/>
      <c r="AB146" s="468"/>
    </row>
    <row r="147" spans="1:28">
      <c r="A147" s="468"/>
      <c r="B147" s="569"/>
      <c r="C147" s="570"/>
      <c r="D147" s="571"/>
      <c r="E147" s="572"/>
      <c r="F147" s="573"/>
      <c r="G147" s="576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  <c r="T147" s="468"/>
      <c r="U147" s="468"/>
      <c r="V147" s="468"/>
      <c r="W147" s="468"/>
      <c r="X147" s="468"/>
      <c r="Y147" s="468"/>
      <c r="Z147" s="468"/>
      <c r="AA147" s="468"/>
      <c r="AB147" s="468"/>
    </row>
    <row r="148" spans="1:28">
      <c r="A148" s="468"/>
      <c r="B148" s="569"/>
      <c r="C148" s="570"/>
      <c r="D148" s="571"/>
      <c r="E148" s="572"/>
      <c r="F148" s="573"/>
      <c r="G148" s="576"/>
      <c r="H148" s="468"/>
      <c r="I148" s="468"/>
      <c r="J148" s="468"/>
      <c r="K148" s="468"/>
      <c r="L148" s="468"/>
      <c r="M148" s="468"/>
      <c r="N148" s="468"/>
      <c r="O148" s="468"/>
      <c r="P148" s="468"/>
      <c r="Q148" s="468"/>
      <c r="R148" s="468"/>
      <c r="S148" s="468"/>
      <c r="T148" s="468"/>
      <c r="U148" s="468"/>
      <c r="V148" s="468"/>
      <c r="W148" s="468"/>
      <c r="X148" s="468"/>
      <c r="Y148" s="468"/>
      <c r="Z148" s="468"/>
      <c r="AA148" s="468"/>
      <c r="AB148" s="468"/>
    </row>
    <row r="149" spans="1:28">
      <c r="A149" s="468"/>
      <c r="B149" s="569"/>
      <c r="C149" s="570"/>
      <c r="D149" s="571"/>
      <c r="E149" s="572"/>
      <c r="F149" s="573"/>
      <c r="G149" s="576"/>
      <c r="H149" s="468"/>
      <c r="I149" s="468"/>
      <c r="J149" s="468"/>
      <c r="K149" s="468"/>
      <c r="L149" s="468"/>
      <c r="M149" s="468"/>
      <c r="N149" s="468"/>
      <c r="O149" s="468"/>
      <c r="P149" s="468"/>
      <c r="Q149" s="468"/>
      <c r="R149" s="468"/>
      <c r="S149" s="468"/>
      <c r="T149" s="468"/>
      <c r="U149" s="468"/>
      <c r="V149" s="468"/>
      <c r="W149" s="468"/>
      <c r="X149" s="468"/>
      <c r="Y149" s="468"/>
      <c r="Z149" s="468"/>
      <c r="AA149" s="468"/>
      <c r="AB149" s="468"/>
    </row>
    <row r="150" spans="1:28">
      <c r="A150" s="468"/>
      <c r="B150" s="569"/>
      <c r="C150" s="570"/>
      <c r="D150" s="571"/>
      <c r="E150" s="572"/>
      <c r="F150" s="573"/>
      <c r="G150" s="576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  <c r="T150" s="468"/>
      <c r="U150" s="468"/>
      <c r="V150" s="468"/>
      <c r="W150" s="468"/>
      <c r="X150" s="468"/>
      <c r="Y150" s="468"/>
      <c r="Z150" s="468"/>
      <c r="AA150" s="468"/>
      <c r="AB150" s="468"/>
    </row>
    <row r="151" spans="1:28">
      <c r="A151" s="468"/>
      <c r="B151" s="569"/>
      <c r="C151" s="570"/>
      <c r="D151" s="571"/>
      <c r="E151" s="572"/>
      <c r="F151" s="573"/>
      <c r="G151" s="577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  <c r="T151" s="468"/>
      <c r="U151" s="468"/>
      <c r="V151" s="468"/>
      <c r="W151" s="468"/>
      <c r="X151" s="468"/>
      <c r="Y151" s="468"/>
      <c r="Z151" s="468"/>
      <c r="AA151" s="468"/>
      <c r="AB151" s="468"/>
    </row>
    <row r="152" spans="1:28">
      <c r="A152" s="468"/>
      <c r="B152" s="569"/>
      <c r="C152" s="570"/>
      <c r="D152" s="571"/>
      <c r="E152" s="572"/>
      <c r="F152" s="573"/>
      <c r="G152" s="577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  <c r="T152" s="468"/>
      <c r="U152" s="468"/>
      <c r="V152" s="468"/>
      <c r="W152" s="468"/>
      <c r="X152" s="468"/>
      <c r="Y152" s="468"/>
      <c r="Z152" s="468"/>
      <c r="AA152" s="468"/>
      <c r="AB152" s="468"/>
    </row>
    <row r="153" spans="1:28">
      <c r="A153" s="468"/>
      <c r="B153" s="569"/>
      <c r="C153" s="570"/>
      <c r="D153" s="571"/>
      <c r="E153" s="572"/>
      <c r="F153" s="573"/>
      <c r="G153" s="577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  <c r="T153" s="468"/>
      <c r="U153" s="468"/>
      <c r="V153" s="468"/>
      <c r="W153" s="468"/>
      <c r="X153" s="468"/>
      <c r="Y153" s="468"/>
      <c r="Z153" s="468"/>
      <c r="AA153" s="468"/>
      <c r="AB153" s="468"/>
    </row>
    <row r="154" spans="1:28">
      <c r="A154" s="468"/>
      <c r="B154" s="569"/>
      <c r="C154" s="570"/>
      <c r="D154" s="571"/>
      <c r="E154" s="572"/>
      <c r="F154" s="573"/>
      <c r="G154" s="577"/>
      <c r="H154" s="468"/>
      <c r="I154" s="468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  <c r="T154" s="468"/>
      <c r="U154" s="468"/>
      <c r="V154" s="468"/>
      <c r="W154" s="468"/>
      <c r="X154" s="468"/>
      <c r="Y154" s="468"/>
      <c r="Z154" s="468"/>
      <c r="AA154" s="468"/>
      <c r="AB154" s="468"/>
    </row>
    <row r="155" spans="1:28" ht="13.5" thickBot="1">
      <c r="A155" s="519"/>
      <c r="B155" s="578" t="s">
        <v>358</v>
      </c>
      <c r="C155" s="579"/>
      <c r="D155" s="580"/>
      <c r="E155" s="581"/>
      <c r="F155" s="582"/>
      <c r="G155" s="583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  <c r="T155" s="468"/>
      <c r="U155" s="468"/>
      <c r="V155" s="468"/>
      <c r="W155" s="468"/>
      <c r="X155" s="468"/>
      <c r="Y155" s="468"/>
      <c r="Z155" s="468"/>
      <c r="AA155" s="468"/>
      <c r="AB155" s="468"/>
    </row>
    <row r="156" spans="1:28" ht="13.5" thickTop="1">
      <c r="A156" s="468"/>
      <c r="B156" s="520"/>
      <c r="C156" s="520"/>
      <c r="D156" s="468"/>
      <c r="E156" s="468"/>
      <c r="F156" s="521"/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  <c r="T156" s="468"/>
      <c r="U156" s="468"/>
      <c r="V156" s="468"/>
      <c r="W156" s="468"/>
      <c r="X156" s="468"/>
      <c r="Y156" s="468"/>
      <c r="Z156" s="468"/>
      <c r="AA156" s="468"/>
      <c r="AB156" s="468"/>
    </row>
    <row r="157" spans="1:28">
      <c r="A157" s="468"/>
      <c r="B157" s="468"/>
      <c r="C157" s="468"/>
      <c r="D157" s="468"/>
      <c r="E157" s="468"/>
      <c r="F157" s="521"/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  <c r="T157" s="468"/>
      <c r="U157" s="468"/>
      <c r="V157" s="468"/>
      <c r="W157" s="468"/>
      <c r="X157" s="468"/>
      <c r="Y157" s="468"/>
      <c r="Z157" s="468"/>
      <c r="AA157" s="468"/>
      <c r="AB157" s="468"/>
    </row>
    <row r="158" spans="1:28">
      <c r="B158" s="12"/>
    </row>
    <row r="159" spans="1:28">
      <c r="B159" s="12"/>
    </row>
  </sheetData>
  <sheetProtection formatCells="0" selectLockedCells="1"/>
  <phoneticPr fontId="23" type="noConversion"/>
  <printOptions horizontalCentered="1" gridLinesSet="0"/>
  <pageMargins left="0.75" right="0.75" top="1" bottom="1" header="0.5" footer="0.5"/>
  <pageSetup scale="81" fitToHeight="2" orientation="landscape" horizontalDpi="4294967292" verticalDpi="4294967292" r:id="rId1"/>
  <headerFooter alignWithMargins="0"/>
  <ignoredErrors>
    <ignoredError sqref="C140:F143" unlockedFormula="1"/>
  </ignoredErrors>
  <legacyDrawing r:id="rId2"/>
  <oleObjects>
    <oleObject progId="MSPhotoEd.3" shapeId="6148" r:id="rId3"/>
    <oleObject progId="MSPhotoEd.3" shapeId="6149" r:id="rId4"/>
    <oleObject progId="MSPhotoEd.3" shapeId="6150" r:id="rId5"/>
    <oleObject progId="MSPhotoEd.3" shapeId="6151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K94"/>
  <sheetViews>
    <sheetView showGridLines="0" workbookViewId="0">
      <pane ySplit="12" topLeftCell="A30" activePane="bottomLeft" state="frozenSplit"/>
      <selection activeCell="B27" sqref="B27"/>
      <selection pane="bottomLeft" activeCell="E36" sqref="E36"/>
    </sheetView>
  </sheetViews>
  <sheetFormatPr defaultColWidth="11.42578125" defaultRowHeight="12.75"/>
  <cols>
    <col min="1" max="1" width="3.28515625" style="1" customWidth="1"/>
    <col min="2" max="2" width="22.42578125" style="1" customWidth="1"/>
    <col min="3" max="3" width="1.28515625" style="1" customWidth="1"/>
    <col min="4" max="4" width="4.7109375" style="305" customWidth="1"/>
    <col min="5" max="5" width="10.7109375" style="306" customWidth="1"/>
    <col min="6" max="6" width="6.7109375" style="1" customWidth="1"/>
    <col min="7" max="7" width="1.85546875" style="1" customWidth="1"/>
    <col min="8" max="8" width="4.7109375" style="307" customWidth="1"/>
    <col min="9" max="9" width="10.7109375" style="306" customWidth="1"/>
    <col min="10" max="10" width="6.7109375" style="1" customWidth="1"/>
    <col min="11" max="11" width="5.140625" style="1" customWidth="1"/>
    <col min="12" max="12" width="3.28515625" style="1" customWidth="1"/>
    <col min="13" max="14" width="6.7109375" style="1" customWidth="1"/>
    <col min="15" max="16384" width="11.42578125" style="1"/>
  </cols>
  <sheetData>
    <row r="1" spans="1:37" ht="13.5" thickBot="1">
      <c r="A1" s="465"/>
      <c r="B1" s="465"/>
      <c r="C1" s="465"/>
      <c r="D1" s="58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</row>
    <row r="2" spans="1:37" ht="17.25" thickTop="1" thickBot="1">
      <c r="A2" s="465"/>
      <c r="B2" s="586" t="s">
        <v>251</v>
      </c>
      <c r="C2" s="587"/>
      <c r="D2" s="588"/>
      <c r="E2" s="469" t="str">
        <f ca="1">IF(IsValidUser, "","Please register, see registration sheet.")</f>
        <v/>
      </c>
      <c r="F2" s="469" t="s">
        <v>355</v>
      </c>
      <c r="G2" s="465"/>
      <c r="H2" s="465"/>
      <c r="I2" s="465"/>
      <c r="J2" s="522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</row>
    <row r="3" spans="1:37" ht="16.5" thickTop="1">
      <c r="A3" s="465"/>
      <c r="B3" s="589"/>
      <c r="C3" s="590"/>
      <c r="D3" s="590"/>
      <c r="E3" s="474" t="s">
        <v>252</v>
      </c>
      <c r="F3" s="474" t="s">
        <v>253</v>
      </c>
      <c r="G3" s="590"/>
      <c r="H3" s="590"/>
      <c r="I3" s="474" t="s">
        <v>254</v>
      </c>
      <c r="J3" s="590"/>
      <c r="K3" s="591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</row>
    <row r="4" spans="1:37">
      <c r="A4" s="465"/>
      <c r="B4" s="592"/>
      <c r="C4" s="522"/>
      <c r="D4" s="522"/>
      <c r="E4" s="593" t="s">
        <v>255</v>
      </c>
      <c r="F4" s="594" t="s">
        <v>256</v>
      </c>
      <c r="G4" s="522"/>
      <c r="H4" s="522"/>
      <c r="I4" s="594" t="s">
        <v>257</v>
      </c>
      <c r="J4" s="522"/>
      <c r="K4" s="470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</row>
    <row r="5" spans="1:37">
      <c r="A5" s="465"/>
      <c r="B5" s="499" t="s">
        <v>68</v>
      </c>
      <c r="C5" s="595"/>
      <c r="D5" s="596"/>
      <c r="E5" s="479" t="s">
        <v>258</v>
      </c>
      <c r="F5" s="479" t="s">
        <v>259</v>
      </c>
      <c r="G5" s="595"/>
      <c r="H5" s="479"/>
      <c r="I5" s="479" t="s">
        <v>260</v>
      </c>
      <c r="J5" s="595"/>
      <c r="K5" s="597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</row>
    <row r="6" spans="1:37">
      <c r="A6" s="465"/>
      <c r="B6" s="499" t="s">
        <v>256</v>
      </c>
      <c r="C6" s="595"/>
      <c r="D6" s="595"/>
      <c r="E6" s="479" t="s">
        <v>261</v>
      </c>
      <c r="F6" s="479" t="s">
        <v>262</v>
      </c>
      <c r="G6" s="595"/>
      <c r="H6" s="595"/>
      <c r="I6" s="479" t="s">
        <v>263</v>
      </c>
      <c r="J6" s="595"/>
      <c r="K6" s="597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</row>
    <row r="7" spans="1:37" ht="13.5" thickBot="1">
      <c r="A7" s="465"/>
      <c r="B7" s="592"/>
      <c r="C7" s="598"/>
      <c r="D7" s="599"/>
      <c r="E7" s="488" t="str">
        <f>SUBSTITUTE("U^4", "U", DistanceUnits)</f>
        <v>in^4</v>
      </c>
      <c r="F7" s="488" t="str">
        <f>SUBSTITUTE("U^2", "U", DistanceUnits)</f>
        <v>in^2</v>
      </c>
      <c r="G7" s="488"/>
      <c r="H7" s="600"/>
      <c r="I7" s="488" t="str">
        <f>SUBSTITUTE("U", "U", DistanceUnits)</f>
        <v>in</v>
      </c>
      <c r="J7" s="598"/>
      <c r="K7" s="491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5"/>
      <c r="AK7" s="465"/>
    </row>
    <row r="8" spans="1:37" ht="14.25" thickTop="1" thickBot="1">
      <c r="A8" s="465"/>
      <c r="B8" s="4" t="s">
        <v>265</v>
      </c>
      <c r="C8" s="653"/>
      <c r="D8" s="601"/>
      <c r="E8" s="602">
        <f>VLOOKUP($B$8, SectionTable, 4, FALSE)</f>
        <v>383.66393485807771</v>
      </c>
      <c r="F8" s="602">
        <f>VLOOKUP($B$8, SectionTable, 5, FALSE)</f>
        <v>12.370021073509811</v>
      </c>
      <c r="G8" s="603"/>
      <c r="H8" s="604"/>
      <c r="I8" s="605">
        <f>VLOOKUP($B$8, SectionTable, 8, FALSE)</f>
        <v>8</v>
      </c>
      <c r="J8" s="603"/>
      <c r="K8" s="606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</row>
    <row r="9" spans="1:37" ht="13.5" thickTop="1">
      <c r="A9" s="465"/>
      <c r="B9" s="607" t="s">
        <v>264</v>
      </c>
      <c r="C9" s="590"/>
      <c r="D9" s="608"/>
      <c r="E9" s="590">
        <f>RectIx</f>
        <v>-4263.104817708333</v>
      </c>
      <c r="F9" s="590">
        <f>RectA</f>
        <v>-215.03125</v>
      </c>
      <c r="G9" s="590"/>
      <c r="H9" s="590"/>
      <c r="I9" s="609">
        <f>RectYb</f>
        <v>8</v>
      </c>
      <c r="J9" s="590"/>
      <c r="K9" s="591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</row>
    <row r="10" spans="1:37">
      <c r="A10" s="465"/>
      <c r="B10" s="610" t="s">
        <v>265</v>
      </c>
      <c r="C10" s="522"/>
      <c r="D10" s="522"/>
      <c r="E10" s="522">
        <f>ElliIx</f>
        <v>383.66393485807771</v>
      </c>
      <c r="F10" s="522">
        <f>ElliA</f>
        <v>12.370021073509811</v>
      </c>
      <c r="G10" s="522"/>
      <c r="H10" s="522"/>
      <c r="I10" s="611">
        <f>ElliYb</f>
        <v>8</v>
      </c>
      <c r="J10" s="522"/>
      <c r="K10" s="470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</row>
    <row r="11" spans="1:37" ht="13.5" thickBot="1">
      <c r="A11" s="465"/>
      <c r="B11" s="612" t="s">
        <v>266</v>
      </c>
      <c r="C11" s="613"/>
      <c r="D11" s="613"/>
      <c r="E11" s="613">
        <f>IBeamIx</f>
        <v>72.200358072916671</v>
      </c>
      <c r="F11" s="613">
        <f>IBeamA</f>
        <v>2.46875</v>
      </c>
      <c r="G11" s="613"/>
      <c r="H11" s="613"/>
      <c r="I11" s="614">
        <f>IBeamYb</f>
        <v>8</v>
      </c>
      <c r="J11" s="613"/>
      <c r="K11" s="496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65"/>
      <c r="AH11" s="465"/>
      <c r="AI11" s="465"/>
      <c r="AJ11" s="465"/>
      <c r="AK11" s="465"/>
    </row>
    <row r="12" spans="1:37" ht="13.5" thickTop="1">
      <c r="A12" s="465"/>
      <c r="B12" s="465"/>
      <c r="C12" s="522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</row>
    <row r="13" spans="1:37" ht="16.5" thickBot="1">
      <c r="A13" s="465"/>
      <c r="B13" s="502" t="s">
        <v>350</v>
      </c>
      <c r="C13" s="465"/>
      <c r="D13" s="465"/>
      <c r="E13" s="465"/>
      <c r="F13" s="469" t="s">
        <v>356</v>
      </c>
      <c r="G13" s="465"/>
      <c r="H13" s="465"/>
      <c r="I13" s="465"/>
      <c r="J13" s="465"/>
      <c r="K13" s="465"/>
      <c r="L13" s="465"/>
      <c r="M13" s="522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</row>
    <row r="14" spans="1:37" ht="13.5" thickTop="1">
      <c r="A14" s="465"/>
      <c r="B14" s="615"/>
      <c r="C14" s="648"/>
      <c r="D14" s="649"/>
      <c r="E14" s="650"/>
      <c r="F14" s="590"/>
      <c r="G14" s="590"/>
      <c r="H14" s="651"/>
      <c r="I14" s="652"/>
      <c r="J14" s="590"/>
      <c r="K14" s="591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</row>
    <row r="15" spans="1:37">
      <c r="A15" s="465"/>
      <c r="B15" s="616" t="s">
        <v>264</v>
      </c>
      <c r="C15" s="522"/>
      <c r="D15" s="291"/>
      <c r="E15" s="292" t="s">
        <v>80</v>
      </c>
      <c r="F15" s="293"/>
      <c r="G15" s="522"/>
      <c r="H15" s="655" t="s">
        <v>267</v>
      </c>
      <c r="I15" s="465"/>
      <c r="J15" s="465"/>
      <c r="K15" s="470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</row>
    <row r="16" spans="1:37">
      <c r="A16" s="465"/>
      <c r="B16" s="617"/>
      <c r="C16" s="522"/>
      <c r="D16" s="294" t="s">
        <v>268</v>
      </c>
      <c r="E16" s="464">
        <v>2</v>
      </c>
      <c r="F16" s="295" t="str">
        <f>DistanceUnits</f>
        <v>in</v>
      </c>
      <c r="G16" s="522"/>
      <c r="H16" s="465"/>
      <c r="I16" s="465"/>
      <c r="J16" s="465"/>
      <c r="K16" s="470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</row>
    <row r="17" spans="1:37">
      <c r="A17" s="465"/>
      <c r="B17" s="617"/>
      <c r="C17" s="522"/>
      <c r="D17" s="294" t="s">
        <v>269</v>
      </c>
      <c r="E17" s="464">
        <f>ElliB</f>
        <v>16</v>
      </c>
      <c r="F17" s="295" t="str">
        <f>DistanceUnits</f>
        <v>in</v>
      </c>
      <c r="G17" s="522"/>
      <c r="H17" s="296" t="s">
        <v>270</v>
      </c>
      <c r="I17" s="297">
        <f>RectB/2</f>
        <v>1</v>
      </c>
      <c r="J17" s="293" t="str">
        <f>DistanceUnits</f>
        <v>in</v>
      </c>
      <c r="K17" s="470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</row>
    <row r="18" spans="1:37">
      <c r="A18" s="465"/>
      <c r="B18" s="617"/>
      <c r="C18" s="522"/>
      <c r="D18" s="298" t="s">
        <v>271</v>
      </c>
      <c r="E18" s="3">
        <f>ElliB-0.125/2</f>
        <v>15.9375</v>
      </c>
      <c r="F18" s="295" t="str">
        <f>DistanceUnits</f>
        <v>in</v>
      </c>
      <c r="G18" s="522"/>
      <c r="H18" s="296" t="s">
        <v>272</v>
      </c>
      <c r="I18" s="297">
        <f>RectH/2</f>
        <v>8</v>
      </c>
      <c r="J18" s="293" t="str">
        <f>DistanceUnits</f>
        <v>in</v>
      </c>
      <c r="K18" s="470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5"/>
      <c r="AK18" s="465"/>
    </row>
    <row r="19" spans="1:37">
      <c r="A19" s="465"/>
      <c r="B19" s="617"/>
      <c r="C19" s="522"/>
      <c r="D19" s="299" t="s">
        <v>273</v>
      </c>
      <c r="E19" s="3">
        <f>ElliB_</f>
        <v>15.5</v>
      </c>
      <c r="F19" s="300" t="str">
        <f>DistanceUnits</f>
        <v>in</v>
      </c>
      <c r="G19" s="522"/>
      <c r="H19" s="301" t="s">
        <v>259</v>
      </c>
      <c r="I19" s="302">
        <f>RectB*RectH - RectB_*RectH_</f>
        <v>-215.03125</v>
      </c>
      <c r="J19" s="303" t="str">
        <f>SUBSTITUTE("U^2", "U", DistanceUnits)</f>
        <v>in^2</v>
      </c>
      <c r="K19" s="470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5"/>
      <c r="Y19" s="465"/>
      <c r="Z19" s="465"/>
      <c r="AA19" s="465"/>
      <c r="AB19" s="465"/>
      <c r="AC19" s="465"/>
      <c r="AD19" s="465"/>
      <c r="AE19" s="465"/>
      <c r="AF19" s="465"/>
      <c r="AG19" s="465"/>
      <c r="AH19" s="465"/>
      <c r="AI19" s="465"/>
      <c r="AJ19" s="465"/>
      <c r="AK19" s="465"/>
    </row>
    <row r="20" spans="1:37">
      <c r="A20" s="465"/>
      <c r="B20" s="617"/>
      <c r="C20" s="522"/>
      <c r="D20" s="646"/>
      <c r="E20" s="465"/>
      <c r="F20" s="522"/>
      <c r="G20" s="522"/>
      <c r="H20" s="647"/>
      <c r="I20" s="630"/>
      <c r="J20" s="522"/>
      <c r="K20" s="470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</row>
    <row r="21" spans="1:37">
      <c r="A21" s="465"/>
      <c r="B21" s="617"/>
      <c r="C21" s="522"/>
      <c r="D21" s="620"/>
      <c r="E21" s="593" t="s">
        <v>274</v>
      </c>
      <c r="F21" s="522"/>
      <c r="G21" s="522"/>
      <c r="H21" s="522"/>
      <c r="I21" s="593" t="s">
        <v>275</v>
      </c>
      <c r="J21" s="522"/>
      <c r="K21" s="470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</row>
    <row r="22" spans="1:37">
      <c r="A22" s="465"/>
      <c r="B22" s="617"/>
      <c r="C22" s="522"/>
      <c r="D22" s="621" t="s">
        <v>261</v>
      </c>
      <c r="E22" s="622">
        <f>(RectB*RectH^3-RectB_*RectH_^3)/12</f>
        <v>-4263.104817708333</v>
      </c>
      <c r="F22" s="623" t="str">
        <f>SUBSTITUTE("U^4", "U", DistanceUnits)</f>
        <v>in^4</v>
      </c>
      <c r="G22" s="522"/>
      <c r="H22" s="624" t="s">
        <v>276</v>
      </c>
      <c r="I22" s="625">
        <f>SQRT(RectIx/RectA)</f>
        <v>4.4525849667046193</v>
      </c>
      <c r="J22" s="623" t="str">
        <f>SUBSTITUTE("U", "U", DistanceUnits)</f>
        <v>in</v>
      </c>
      <c r="K22" s="470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465"/>
      <c r="AJ22" s="465"/>
      <c r="AK22" s="465"/>
    </row>
    <row r="23" spans="1:37">
      <c r="A23" s="465"/>
      <c r="B23" s="617"/>
      <c r="C23" s="522"/>
      <c r="D23" s="626" t="s">
        <v>277</v>
      </c>
      <c r="E23" s="627">
        <f>(RectH*RectB^3-RectH_*RectB_^3)/12</f>
        <v>-5218.2418721516924</v>
      </c>
      <c r="F23" s="628" t="str">
        <f>F25</f>
        <v>in^4</v>
      </c>
      <c r="G23" s="522"/>
      <c r="H23" s="629" t="s">
        <v>278</v>
      </c>
      <c r="I23" s="630">
        <f>SQRT(RectIy/RectA)</f>
        <v>4.9261917538093511</v>
      </c>
      <c r="J23" s="628" t="str">
        <f>J25</f>
        <v>in</v>
      </c>
      <c r="K23" s="470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</row>
    <row r="24" spans="1:37">
      <c r="A24" s="465"/>
      <c r="B24" s="617"/>
      <c r="C24" s="522"/>
      <c r="D24" s="626" t="s">
        <v>279</v>
      </c>
      <c r="E24" s="631">
        <f>RectIx+RectIy</f>
        <v>-9481.3466898600254</v>
      </c>
      <c r="F24" s="628" t="str">
        <f>F26</f>
        <v>in^4</v>
      </c>
      <c r="G24" s="522"/>
      <c r="H24" s="632" t="s">
        <v>280</v>
      </c>
      <c r="I24" s="633">
        <f>SQRT(RectIz/RectA)</f>
        <v>6.6402468388624847</v>
      </c>
      <c r="J24" s="628" t="str">
        <f>J26</f>
        <v>in</v>
      </c>
      <c r="K24" s="470"/>
      <c r="L24" s="465"/>
      <c r="M24" s="465"/>
      <c r="N24" s="465"/>
      <c r="O24" s="465"/>
      <c r="P24" s="465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5"/>
      <c r="AC24" s="465"/>
      <c r="AD24" s="465"/>
      <c r="AE24" s="465"/>
      <c r="AF24" s="465"/>
      <c r="AG24" s="465"/>
      <c r="AH24" s="465"/>
      <c r="AI24" s="465"/>
      <c r="AJ24" s="465"/>
      <c r="AK24" s="465"/>
    </row>
    <row r="25" spans="1:37">
      <c r="A25" s="465"/>
      <c r="B25" s="617"/>
      <c r="C25" s="522"/>
      <c r="D25" s="626" t="s">
        <v>281</v>
      </c>
      <c r="E25" s="631">
        <f>RectIx+RectA*RectYb^2</f>
        <v>-18025.104817708332</v>
      </c>
      <c r="F25" s="628" t="str">
        <f>F22</f>
        <v>in^4</v>
      </c>
      <c r="G25" s="522"/>
      <c r="H25" s="629" t="s">
        <v>282</v>
      </c>
      <c r="I25" s="630">
        <f>SQRT(RectIx1/RectA)</f>
        <v>9.1556273889736239</v>
      </c>
      <c r="J25" s="628" t="str">
        <f>J22</f>
        <v>in</v>
      </c>
      <c r="K25" s="470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</row>
    <row r="26" spans="1:37">
      <c r="A26" s="465"/>
      <c r="B26" s="617"/>
      <c r="C26" s="522"/>
      <c r="D26" s="626" t="s">
        <v>283</v>
      </c>
      <c r="E26" s="631">
        <f>RectIy+RectA*RectXb^2</f>
        <v>-5433.2731221516924</v>
      </c>
      <c r="F26" s="628" t="str">
        <f>F23</f>
        <v>in^4</v>
      </c>
      <c r="G26" s="522"/>
      <c r="H26" s="629" t="s">
        <v>284</v>
      </c>
      <c r="I26" s="630">
        <f>SQRT(RectIy1/RectA)</f>
        <v>5.0266654150937136</v>
      </c>
      <c r="J26" s="628" t="str">
        <f>J23</f>
        <v>in</v>
      </c>
      <c r="K26" s="470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</row>
    <row r="27" spans="1:37">
      <c r="A27" s="465"/>
      <c r="B27" s="617"/>
      <c r="C27" s="522"/>
      <c r="D27" s="634" t="s">
        <v>285</v>
      </c>
      <c r="E27" s="635">
        <f>RectIx1+RectIy1</f>
        <v>-23458.377939860024</v>
      </c>
      <c r="F27" s="636" t="str">
        <f>F24</f>
        <v>in^4</v>
      </c>
      <c r="G27" s="522"/>
      <c r="H27" s="637" t="s">
        <v>286</v>
      </c>
      <c r="I27" s="638">
        <f>SQRT(RectIz1/RectA)</f>
        <v>10.444753615142064</v>
      </c>
      <c r="J27" s="636" t="str">
        <f>J24</f>
        <v>in</v>
      </c>
      <c r="K27" s="470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</row>
    <row r="28" spans="1:37" ht="13.5" thickBot="1">
      <c r="A28" s="465"/>
      <c r="B28" s="618"/>
      <c r="C28" s="613"/>
      <c r="D28" s="613"/>
      <c r="E28" s="613"/>
      <c r="F28" s="613"/>
      <c r="G28" s="613"/>
      <c r="H28" s="613"/>
      <c r="I28" s="613"/>
      <c r="J28" s="613"/>
      <c r="K28" s="496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</row>
    <row r="29" spans="1:37" ht="14.25" thickTop="1" thickBot="1">
      <c r="A29" s="465"/>
      <c r="B29" s="465"/>
      <c r="C29" s="465"/>
      <c r="D29" s="643"/>
      <c r="E29" s="644"/>
      <c r="F29" s="469" t="s">
        <v>357</v>
      </c>
      <c r="G29" s="465"/>
      <c r="H29" s="645"/>
      <c r="I29" s="644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</row>
    <row r="30" spans="1:37" ht="13.5" thickTop="1">
      <c r="A30" s="465"/>
      <c r="B30" s="615"/>
      <c r="C30" s="648"/>
      <c r="D30" s="649"/>
      <c r="E30" s="650"/>
      <c r="F30" s="590"/>
      <c r="G30" s="590"/>
      <c r="H30" s="651"/>
      <c r="I30" s="652"/>
      <c r="J30" s="590"/>
      <c r="K30" s="591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5"/>
    </row>
    <row r="31" spans="1:37">
      <c r="A31" s="465"/>
      <c r="B31" s="616" t="s">
        <v>265</v>
      </c>
      <c r="C31" s="522"/>
      <c r="D31" s="308"/>
      <c r="E31" s="309" t="s">
        <v>80</v>
      </c>
      <c r="F31" s="310"/>
      <c r="G31" s="522"/>
      <c r="H31" s="654" t="s">
        <v>267</v>
      </c>
      <c r="I31" s="465"/>
      <c r="J31" s="465"/>
      <c r="K31" s="470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</row>
    <row r="32" spans="1:37">
      <c r="A32" s="465"/>
      <c r="B32" s="617"/>
      <c r="C32" s="522"/>
      <c r="D32" s="311" t="s">
        <v>268</v>
      </c>
      <c r="E32" s="464">
        <v>16</v>
      </c>
      <c r="F32" s="312" t="str">
        <f>DistanceUnits</f>
        <v>in</v>
      </c>
      <c r="G32" s="522"/>
      <c r="H32" s="465"/>
      <c r="I32" s="465"/>
      <c r="J32" s="465"/>
      <c r="K32" s="470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</row>
    <row r="33" spans="1:37">
      <c r="A33" s="465"/>
      <c r="B33" s="617"/>
      <c r="C33" s="522"/>
      <c r="D33" s="311" t="s">
        <v>269</v>
      </c>
      <c r="E33" s="464">
        <v>16</v>
      </c>
      <c r="F33" s="312" t="str">
        <f>DistanceUnits</f>
        <v>in</v>
      </c>
      <c r="G33" s="522"/>
      <c r="H33" s="313" t="s">
        <v>270</v>
      </c>
      <c r="I33" s="314">
        <f>ElliB/2</f>
        <v>8</v>
      </c>
      <c r="J33" s="315" t="str">
        <f>DistanceUnits</f>
        <v>in</v>
      </c>
      <c r="K33" s="470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</row>
    <row r="34" spans="1:37">
      <c r="A34" s="465"/>
      <c r="B34" s="617"/>
      <c r="C34" s="522"/>
      <c r="D34" s="316" t="s">
        <v>271</v>
      </c>
      <c r="E34" s="3">
        <v>15.5</v>
      </c>
      <c r="F34" s="312" t="str">
        <f>DistanceUnits</f>
        <v>in</v>
      </c>
      <c r="G34" s="522"/>
      <c r="H34" s="313" t="s">
        <v>272</v>
      </c>
      <c r="I34" s="314">
        <f>ElliH/2</f>
        <v>8</v>
      </c>
      <c r="J34" s="315" t="str">
        <f>DistanceUnits</f>
        <v>in</v>
      </c>
      <c r="K34" s="470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</row>
    <row r="35" spans="1:37">
      <c r="A35" s="465"/>
      <c r="B35" s="617"/>
      <c r="C35" s="522"/>
      <c r="D35" s="317" t="s">
        <v>273</v>
      </c>
      <c r="E35" s="3">
        <v>15.5</v>
      </c>
      <c r="F35" s="318" t="str">
        <f>DistanceUnits</f>
        <v>in</v>
      </c>
      <c r="G35" s="522"/>
      <c r="H35" s="319" t="s">
        <v>259</v>
      </c>
      <c r="I35" s="314">
        <f>PI()*(ElliB*ElliH - ElliB_*ElliH_)/4</f>
        <v>12.370021073509811</v>
      </c>
      <c r="J35" s="315" t="str">
        <f>DistanceUnits</f>
        <v>in</v>
      </c>
      <c r="K35" s="470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</row>
    <row r="36" spans="1:37">
      <c r="A36" s="465"/>
      <c r="B36" s="617"/>
      <c r="C36" s="522"/>
      <c r="D36" s="465"/>
      <c r="E36" s="465"/>
      <c r="F36" s="465"/>
      <c r="G36" s="465"/>
      <c r="H36" s="465"/>
      <c r="I36" s="465"/>
      <c r="J36" s="465"/>
      <c r="K36" s="470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</row>
    <row r="37" spans="1:37">
      <c r="A37" s="465"/>
      <c r="B37" s="617"/>
      <c r="C37" s="522"/>
      <c r="D37" s="620"/>
      <c r="E37" s="593" t="s">
        <v>274</v>
      </c>
      <c r="F37" s="522"/>
      <c r="G37" s="522"/>
      <c r="H37" s="465"/>
      <c r="I37" s="593" t="s">
        <v>275</v>
      </c>
      <c r="J37" s="522"/>
      <c r="K37" s="470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</row>
    <row r="38" spans="1:37">
      <c r="A38" s="465"/>
      <c r="B38" s="617"/>
      <c r="C38" s="522"/>
      <c r="D38" s="621" t="s">
        <v>261</v>
      </c>
      <c r="E38" s="622">
        <f>PI()*(ElliB*ElliH^3-ElliB_*ElliH_^3)/64</f>
        <v>383.66393485807771</v>
      </c>
      <c r="F38" s="623" t="str">
        <f>SUBSTITUTE("U^4", "U", DistanceUnits)</f>
        <v>in^4</v>
      </c>
      <c r="G38" s="522"/>
      <c r="H38" s="624" t="s">
        <v>276</v>
      </c>
      <c r="I38" s="625">
        <f>SQRT(ElliIx/ElliA)</f>
        <v>5.5691673524863656</v>
      </c>
      <c r="J38" s="623" t="str">
        <f>F32</f>
        <v>in</v>
      </c>
      <c r="K38" s="470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</row>
    <row r="39" spans="1:37">
      <c r="A39" s="465"/>
      <c r="B39" s="617"/>
      <c r="C39" s="522"/>
      <c r="D39" s="626" t="s">
        <v>277</v>
      </c>
      <c r="E39" s="627">
        <f>PI()*(ElliH*ElliB^3-ElliH_*ElliB_^3)/64</f>
        <v>383.66393485807771</v>
      </c>
      <c r="F39" s="628" t="str">
        <f>F41</f>
        <v>in^4</v>
      </c>
      <c r="G39" s="522"/>
      <c r="H39" s="629" t="s">
        <v>278</v>
      </c>
      <c r="I39" s="630">
        <f>SQRT(ElliIy/ElliA)</f>
        <v>5.5691673524863656</v>
      </c>
      <c r="J39" s="628" t="str">
        <f>J41</f>
        <v>in</v>
      </c>
      <c r="K39" s="470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</row>
    <row r="40" spans="1:37">
      <c r="A40" s="465"/>
      <c r="B40" s="617"/>
      <c r="C40" s="522"/>
      <c r="D40" s="626" t="s">
        <v>279</v>
      </c>
      <c r="E40" s="631">
        <f>ElliIx+ElliIy</f>
        <v>767.32786971615542</v>
      </c>
      <c r="F40" s="628" t="str">
        <f>F42</f>
        <v>in^4</v>
      </c>
      <c r="G40" s="522"/>
      <c r="H40" s="632" t="s">
        <v>280</v>
      </c>
      <c r="I40" s="633">
        <f>SQRT(ElliIz/ElliA)</f>
        <v>7.8759920010116815</v>
      </c>
      <c r="J40" s="628" t="str">
        <f>J42</f>
        <v>in</v>
      </c>
      <c r="K40" s="470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</row>
    <row r="41" spans="1:37">
      <c r="A41" s="465"/>
      <c r="B41" s="617"/>
      <c r="C41" s="522"/>
      <c r="D41" s="626" t="s">
        <v>281</v>
      </c>
      <c r="E41" s="631">
        <f>ElliIx+ElliA*ElliYb^2</f>
        <v>1175.3452835627056</v>
      </c>
      <c r="F41" s="628" t="str">
        <f>F38</f>
        <v>in^4</v>
      </c>
      <c r="G41" s="522"/>
      <c r="H41" s="629" t="s">
        <v>282</v>
      </c>
      <c r="I41" s="630">
        <f>SQRT(ElliIx1/ElliA)</f>
        <v>9.7475958574409507</v>
      </c>
      <c r="J41" s="628" t="str">
        <f>J38</f>
        <v>in</v>
      </c>
      <c r="K41" s="470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  <c r="AD41" s="465"/>
      <c r="AE41" s="465"/>
      <c r="AF41" s="465"/>
      <c r="AG41" s="465"/>
      <c r="AH41" s="465"/>
      <c r="AI41" s="465"/>
      <c r="AJ41" s="465"/>
      <c r="AK41" s="465"/>
    </row>
    <row r="42" spans="1:37">
      <c r="A42" s="465"/>
      <c r="B42" s="617"/>
      <c r="C42" s="522"/>
      <c r="D42" s="626" t="s">
        <v>283</v>
      </c>
      <c r="E42" s="631">
        <f>ElliIy+ElliA*ElliXb^2</f>
        <v>1175.3452835627056</v>
      </c>
      <c r="F42" s="628" t="str">
        <f>F39</f>
        <v>in^4</v>
      </c>
      <c r="G42" s="522"/>
      <c r="H42" s="629" t="s">
        <v>284</v>
      </c>
      <c r="I42" s="630">
        <f>SQRT(ElliIy1/ElliA)</f>
        <v>9.7475958574409507</v>
      </c>
      <c r="J42" s="628" t="str">
        <f>J39</f>
        <v>in</v>
      </c>
      <c r="K42" s="470"/>
      <c r="L42" s="465"/>
      <c r="M42" s="465"/>
      <c r="N42" s="465"/>
      <c r="O42" s="465"/>
      <c r="P42" s="465"/>
      <c r="Q42" s="465"/>
      <c r="R42" s="465"/>
      <c r="S42" s="465"/>
      <c r="T42" s="465"/>
      <c r="U42" s="465"/>
      <c r="V42" s="465"/>
      <c r="W42" s="465"/>
      <c r="X42" s="465"/>
      <c r="Y42" s="465"/>
      <c r="Z42" s="465"/>
      <c r="AA42" s="465"/>
      <c r="AB42" s="465"/>
      <c r="AC42" s="465"/>
      <c r="AD42" s="465"/>
      <c r="AE42" s="465"/>
      <c r="AF42" s="465"/>
      <c r="AG42" s="465"/>
      <c r="AH42" s="465"/>
      <c r="AI42" s="465"/>
      <c r="AJ42" s="465"/>
      <c r="AK42" s="465"/>
    </row>
    <row r="43" spans="1:37">
      <c r="A43" s="465"/>
      <c r="B43" s="617"/>
      <c r="C43" s="522"/>
      <c r="D43" s="634" t="s">
        <v>285</v>
      </c>
      <c r="E43" s="635">
        <f>ElliIx1+ElliIy1</f>
        <v>2350.6905671254112</v>
      </c>
      <c r="F43" s="636" t="str">
        <f>F40</f>
        <v>in^4</v>
      </c>
      <c r="G43" s="522"/>
      <c r="H43" s="637" t="s">
        <v>286</v>
      </c>
      <c r="I43" s="638">
        <f>SQRT(ElliIz1/ElliA)</f>
        <v>13.785182262124792</v>
      </c>
      <c r="J43" s="636" t="str">
        <f>J40</f>
        <v>in</v>
      </c>
      <c r="K43" s="470"/>
      <c r="L43" s="465"/>
      <c r="M43" s="465"/>
      <c r="N43" s="465"/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5"/>
      <c r="AA43" s="465"/>
      <c r="AB43" s="465"/>
      <c r="AC43" s="465"/>
      <c r="AD43" s="465"/>
      <c r="AE43" s="465"/>
      <c r="AF43" s="465"/>
      <c r="AG43" s="465"/>
      <c r="AH43" s="465"/>
      <c r="AI43" s="465"/>
      <c r="AJ43" s="465"/>
      <c r="AK43" s="465"/>
    </row>
    <row r="44" spans="1:37" ht="13.5" thickBot="1">
      <c r="A44" s="465"/>
      <c r="B44" s="618"/>
      <c r="C44" s="613"/>
      <c r="D44" s="639"/>
      <c r="E44" s="640"/>
      <c r="F44" s="613"/>
      <c r="G44" s="613"/>
      <c r="H44" s="641"/>
      <c r="I44" s="642"/>
      <c r="J44" s="613"/>
      <c r="K44" s="496"/>
      <c r="L44" s="465"/>
      <c r="M44" s="465"/>
      <c r="N44" s="465"/>
      <c r="O44" s="465"/>
      <c r="P44" s="465"/>
      <c r="Q44" s="465"/>
      <c r="R44" s="465"/>
      <c r="S44" s="465"/>
      <c r="T44" s="465"/>
      <c r="U44" s="465"/>
      <c r="V44" s="465"/>
      <c r="W44" s="465"/>
      <c r="X44" s="465"/>
      <c r="Y44" s="465"/>
      <c r="Z44" s="465"/>
      <c r="AA44" s="465"/>
      <c r="AB44" s="465"/>
      <c r="AC44" s="465"/>
      <c r="AD44" s="465"/>
      <c r="AE44" s="465"/>
      <c r="AF44" s="465"/>
      <c r="AG44" s="465"/>
      <c r="AH44" s="465"/>
      <c r="AI44" s="465"/>
      <c r="AJ44" s="465"/>
      <c r="AK44" s="465"/>
    </row>
    <row r="45" spans="1:37" ht="14.25" thickTop="1" thickBot="1">
      <c r="A45" s="465"/>
      <c r="B45" s="465"/>
      <c r="C45" s="465"/>
      <c r="D45" s="643"/>
      <c r="E45" s="644"/>
      <c r="F45" s="465"/>
      <c r="G45" s="465"/>
      <c r="H45" s="645"/>
      <c r="I45" s="644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465"/>
      <c r="AD45" s="465"/>
      <c r="AE45" s="465"/>
      <c r="AF45" s="465"/>
      <c r="AG45" s="465"/>
      <c r="AH45" s="465"/>
      <c r="AI45" s="465"/>
      <c r="AJ45" s="465"/>
      <c r="AK45" s="465"/>
    </row>
    <row r="46" spans="1:37" ht="13.5" thickTop="1">
      <c r="A46" s="465"/>
      <c r="B46" s="615"/>
      <c r="C46" s="648"/>
      <c r="D46" s="649"/>
      <c r="E46" s="650"/>
      <c r="F46" s="590"/>
      <c r="G46" s="590"/>
      <c r="H46" s="651"/>
      <c r="I46" s="652"/>
      <c r="J46" s="590"/>
      <c r="K46" s="591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465"/>
      <c r="Z46" s="465"/>
      <c r="AA46" s="465"/>
      <c r="AB46" s="465"/>
      <c r="AC46" s="465"/>
      <c r="AD46" s="465"/>
      <c r="AE46" s="465"/>
      <c r="AF46" s="465"/>
      <c r="AG46" s="465"/>
      <c r="AH46" s="465"/>
      <c r="AI46" s="465"/>
      <c r="AJ46" s="465"/>
      <c r="AK46" s="465"/>
    </row>
    <row r="47" spans="1:37">
      <c r="A47" s="465"/>
      <c r="B47" s="616" t="s">
        <v>266</v>
      </c>
      <c r="C47" s="522"/>
      <c r="D47" s="308"/>
      <c r="E47" s="309" t="s">
        <v>80</v>
      </c>
      <c r="F47" s="310"/>
      <c r="G47" s="522"/>
      <c r="H47" s="465" t="s">
        <v>287</v>
      </c>
      <c r="I47" s="465"/>
      <c r="J47" s="465"/>
      <c r="K47" s="470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  <c r="AD47" s="465"/>
      <c r="AE47" s="465"/>
      <c r="AF47" s="465"/>
      <c r="AG47" s="465"/>
      <c r="AH47" s="465"/>
      <c r="AI47" s="465"/>
      <c r="AJ47" s="465"/>
      <c r="AK47" s="465"/>
    </row>
    <row r="48" spans="1:37">
      <c r="A48" s="465"/>
      <c r="B48" s="617"/>
      <c r="C48" s="522"/>
      <c r="D48" s="311" t="s">
        <v>268</v>
      </c>
      <c r="E48" s="464">
        <v>2</v>
      </c>
      <c r="F48" s="312" t="str">
        <f>DistanceUnits</f>
        <v>in</v>
      </c>
      <c r="G48" s="522"/>
      <c r="H48" s="465"/>
      <c r="I48" s="465"/>
      <c r="J48" s="465"/>
      <c r="K48" s="470"/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65"/>
      <c r="AH48" s="465"/>
      <c r="AI48" s="465"/>
      <c r="AJ48" s="465"/>
      <c r="AK48" s="465"/>
    </row>
    <row r="49" spans="1:37">
      <c r="A49" s="465"/>
      <c r="B49" s="617"/>
      <c r="C49" s="522"/>
      <c r="D49" s="311" t="s">
        <v>269</v>
      </c>
      <c r="E49" s="464">
        <f>ElliB</f>
        <v>16</v>
      </c>
      <c r="F49" s="312" t="str">
        <f>DistanceUnits</f>
        <v>in</v>
      </c>
      <c r="G49" s="522"/>
      <c r="H49" s="313" t="s">
        <v>270</v>
      </c>
      <c r="I49" s="314">
        <f>IBeamB/2</f>
        <v>1</v>
      </c>
      <c r="J49" s="315" t="str">
        <f>DistanceUnits</f>
        <v>in</v>
      </c>
      <c r="K49" s="470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5"/>
      <c r="AK49" s="465"/>
    </row>
    <row r="50" spans="1:37">
      <c r="A50" s="465"/>
      <c r="B50" s="617"/>
      <c r="C50" s="522"/>
      <c r="D50" s="316" t="s">
        <v>288</v>
      </c>
      <c r="E50" s="3">
        <v>0.125</v>
      </c>
      <c r="F50" s="312" t="str">
        <f>DistanceUnits</f>
        <v>in</v>
      </c>
      <c r="G50" s="522"/>
      <c r="H50" s="313" t="s">
        <v>272</v>
      </c>
      <c r="I50" s="314">
        <f>IBeamH/2</f>
        <v>8</v>
      </c>
      <c r="J50" s="315" t="str">
        <f>DistanceUnits</f>
        <v>in</v>
      </c>
      <c r="K50" s="470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</row>
    <row r="51" spans="1:37">
      <c r="A51" s="465"/>
      <c r="B51" s="617"/>
      <c r="C51" s="522"/>
      <c r="D51" s="317" t="s">
        <v>289</v>
      </c>
      <c r="E51" s="3">
        <v>0.125</v>
      </c>
      <c r="F51" s="318" t="str">
        <f>DistanceUnits</f>
        <v>in</v>
      </c>
      <c r="G51" s="522"/>
      <c r="H51" s="319" t="s">
        <v>259</v>
      </c>
      <c r="I51" s="314">
        <f>2*IBeamB*IBeamTf + IBeamH*IBeamTw - 2*IBeamTf*IBeamTw</f>
        <v>2.46875</v>
      </c>
      <c r="J51" s="315" t="str">
        <f>SUBSTITUTE("U^2", "U", DistanceUnits)</f>
        <v>in^2</v>
      </c>
      <c r="K51" s="470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</row>
    <row r="52" spans="1:37">
      <c r="A52" s="465"/>
      <c r="B52" s="617"/>
      <c r="C52" s="522"/>
      <c r="D52" s="465"/>
      <c r="E52" s="465"/>
      <c r="F52" s="465"/>
      <c r="G52" s="465"/>
      <c r="H52" s="465"/>
      <c r="I52" s="465"/>
      <c r="J52" s="465"/>
      <c r="K52" s="470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</row>
    <row r="53" spans="1:37">
      <c r="A53" s="465"/>
      <c r="B53" s="617"/>
      <c r="C53" s="522"/>
      <c r="D53" s="620"/>
      <c r="E53" s="593" t="s">
        <v>274</v>
      </c>
      <c r="F53" s="522"/>
      <c r="G53" s="522"/>
      <c r="H53" s="465"/>
      <c r="I53" s="593" t="s">
        <v>275</v>
      </c>
      <c r="J53" s="522"/>
      <c r="K53" s="470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</row>
    <row r="54" spans="1:37">
      <c r="A54" s="465"/>
      <c r="B54" s="617"/>
      <c r="C54" s="522"/>
      <c r="D54" s="621" t="s">
        <v>261</v>
      </c>
      <c r="E54" s="622">
        <f>(IBeamB*IBeamTf*(3*IBeamH^2 - 6*IBeamH*IBeamTf + 4*IBeamTf^2))/6 + ((IBeamH - 2*IBeamTf)^3*IBeamTw)/12</f>
        <v>72.200358072916671</v>
      </c>
      <c r="F54" s="623" t="str">
        <f>SUBSTITUTE("U^4", "U", DistanceUnits)</f>
        <v>in^4</v>
      </c>
      <c r="G54" s="522"/>
      <c r="H54" s="624" t="s">
        <v>276</v>
      </c>
      <c r="I54" s="625">
        <f>SQRT(IBeamIx/IBeamA)</f>
        <v>5.4079307190872239</v>
      </c>
      <c r="J54" s="623" t="str">
        <f>F48</f>
        <v>in</v>
      </c>
      <c r="K54" s="470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</row>
    <row r="55" spans="1:37">
      <c r="A55" s="465"/>
      <c r="B55" s="617"/>
      <c r="C55" s="522"/>
      <c r="D55" s="626" t="s">
        <v>277</v>
      </c>
      <c r="E55" s="627">
        <f>(2*IBeamB^3*IBeamTf + IBeamH*IBeamTw^3 - 2*IBeamTf*IBeamTw^3)/12</f>
        <v>0.16923014322916666</v>
      </c>
      <c r="F55" s="628" t="str">
        <f>F57</f>
        <v>in^4</v>
      </c>
      <c r="G55" s="522"/>
      <c r="H55" s="629" t="s">
        <v>278</v>
      </c>
      <c r="I55" s="630">
        <f>SQRT(IBeamIy/IBeamA)</f>
        <v>0.26181848440545846</v>
      </c>
      <c r="J55" s="628" t="str">
        <f>J57</f>
        <v>in</v>
      </c>
      <c r="K55" s="470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</row>
    <row r="56" spans="1:37">
      <c r="A56" s="465"/>
      <c r="B56" s="617"/>
      <c r="C56" s="522"/>
      <c r="D56" s="626" t="s">
        <v>279</v>
      </c>
      <c r="E56" s="631">
        <f>IBeamIx+IBeamIy</f>
        <v>72.369588216145843</v>
      </c>
      <c r="F56" s="628" t="str">
        <f>F58</f>
        <v>in^4</v>
      </c>
      <c r="G56" s="522"/>
      <c r="H56" s="632" t="s">
        <v>280</v>
      </c>
      <c r="I56" s="633">
        <f>SQRT(IBeamIz/IBeamA)</f>
        <v>5.4142648237063202</v>
      </c>
      <c r="J56" s="628" t="str">
        <f>J58</f>
        <v>in</v>
      </c>
      <c r="K56" s="470"/>
      <c r="L56" s="465"/>
      <c r="M56" s="465"/>
      <c r="N56" s="465"/>
      <c r="O56" s="465"/>
      <c r="P56" s="465"/>
      <c r="Q56" s="465"/>
      <c r="R56" s="465"/>
      <c r="S56" s="465"/>
      <c r="T56" s="465"/>
      <c r="U56" s="465"/>
      <c r="V56" s="465"/>
      <c r="W56" s="465"/>
      <c r="X56" s="465"/>
      <c r="Y56" s="465"/>
      <c r="Z56" s="465"/>
      <c r="AA56" s="465"/>
      <c r="AB56" s="465"/>
      <c r="AC56" s="465"/>
      <c r="AD56" s="465"/>
      <c r="AE56" s="465"/>
      <c r="AF56" s="465"/>
      <c r="AG56" s="465"/>
      <c r="AH56" s="465"/>
      <c r="AI56" s="465"/>
      <c r="AJ56" s="465"/>
      <c r="AK56" s="465"/>
    </row>
    <row r="57" spans="1:37">
      <c r="A57" s="465"/>
      <c r="B57" s="617"/>
      <c r="C57" s="522"/>
      <c r="D57" s="626" t="s">
        <v>281</v>
      </c>
      <c r="E57" s="631">
        <f>IBeamB*IBeamH^2*IBeamTf - IBeamB*IBeamH*IBeamTf^2 +     (2*IBeamB*IBeamTf^3)/3 + (IBeamH^3*IBeamTw)/3 -     IBeamH^2*IBeamTf*IBeamTw + IBeamH*IBeamTf^2*IBeamTw -     (2*IBeamTf^3*IBeamTw)/3</f>
        <v>230.20035807291666</v>
      </c>
      <c r="F57" s="628" t="str">
        <f>F54</f>
        <v>in^4</v>
      </c>
      <c r="G57" s="522"/>
      <c r="H57" s="629" t="s">
        <v>282</v>
      </c>
      <c r="I57" s="630">
        <f>SQRT(IBeamIx1/IBeamA)</f>
        <v>9.6563820689970239</v>
      </c>
      <c r="J57" s="628" t="str">
        <f>J54</f>
        <v>in</v>
      </c>
      <c r="K57" s="470"/>
      <c r="L57" s="465"/>
      <c r="M57" s="465"/>
      <c r="N57" s="465"/>
      <c r="O57" s="465"/>
      <c r="P57" s="465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5"/>
      <c r="AH57" s="465"/>
      <c r="AI57" s="465"/>
      <c r="AJ57" s="465"/>
      <c r="AK57" s="465"/>
    </row>
    <row r="58" spans="1:37">
      <c r="A58" s="465"/>
      <c r="B58" s="617"/>
      <c r="C58" s="522"/>
      <c r="D58" s="626" t="s">
        <v>283</v>
      </c>
      <c r="E58" s="631">
        <f>(8*IBeamB^3*IBeamTf + 3*IBeamB^2*IBeamH*IBeamTw -     6*IBeamB^2*IBeamTf*IBeamTw + IBeamH*IBeamTw^3 -     2*IBeamTf*IBeamTw^3)/12</f>
        <v>2.6379801432291665</v>
      </c>
      <c r="F58" s="628" t="str">
        <f>F55</f>
        <v>in^4</v>
      </c>
      <c r="G58" s="522"/>
      <c r="H58" s="629" t="s">
        <v>284</v>
      </c>
      <c r="I58" s="630">
        <f>SQRT(IBeamIy1/IBeamA)</f>
        <v>1.033706398730496</v>
      </c>
      <c r="J58" s="628" t="str">
        <f>J55</f>
        <v>in</v>
      </c>
      <c r="K58" s="470"/>
      <c r="L58" s="465"/>
      <c r="M58" s="465"/>
      <c r="N58" s="465"/>
      <c r="O58" s="465"/>
      <c r="P58" s="465"/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</row>
    <row r="59" spans="1:37">
      <c r="A59" s="465"/>
      <c r="B59" s="617"/>
      <c r="C59" s="522"/>
      <c r="D59" s="634" t="s">
        <v>285</v>
      </c>
      <c r="E59" s="635">
        <f>IBeamIx1+IBeamIy1</f>
        <v>232.83833821614581</v>
      </c>
      <c r="F59" s="636" t="str">
        <f>F56</f>
        <v>in^4</v>
      </c>
      <c r="G59" s="522"/>
      <c r="H59" s="637" t="s">
        <v>286</v>
      </c>
      <c r="I59" s="638">
        <f>SQRT(IbeamIz1/IBeamA)</f>
        <v>9.7115530983063483</v>
      </c>
      <c r="J59" s="636" t="str">
        <f>J56</f>
        <v>in</v>
      </c>
      <c r="K59" s="470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</row>
    <row r="60" spans="1:37" ht="13.5" thickBot="1">
      <c r="A60" s="465"/>
      <c r="B60" s="619" t="str">
        <f>CopyrightNotice</f>
        <v>© 1991-2008 WDV™</v>
      </c>
      <c r="C60" s="613"/>
      <c r="D60" s="639"/>
      <c r="E60" s="640"/>
      <c r="F60" s="613"/>
      <c r="G60" s="613"/>
      <c r="H60" s="641"/>
      <c r="I60" s="642"/>
      <c r="J60" s="613"/>
      <c r="K60" s="496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465"/>
      <c r="AK60" s="465"/>
    </row>
    <row r="61" spans="1:37" ht="13.5" thickTop="1">
      <c r="A61" s="465"/>
      <c r="B61" s="465"/>
      <c r="C61" s="465"/>
      <c r="D61" s="643"/>
      <c r="E61" s="644"/>
      <c r="F61" s="465"/>
      <c r="G61" s="465"/>
      <c r="H61" s="645"/>
      <c r="I61" s="644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5"/>
    </row>
    <row r="62" spans="1:37">
      <c r="A62" s="465"/>
      <c r="B62" s="465"/>
      <c r="C62" s="465"/>
      <c r="D62" s="465"/>
      <c r="E62" s="465"/>
      <c r="F62" s="465"/>
      <c r="G62" s="465"/>
      <c r="H62" s="465"/>
      <c r="I62" s="644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  <c r="AG62" s="465"/>
      <c r="AH62" s="465"/>
      <c r="AI62" s="465"/>
      <c r="AJ62" s="465"/>
      <c r="AK62" s="465"/>
    </row>
    <row r="63" spans="1:37">
      <c r="A63" s="465"/>
      <c r="B63" s="465"/>
      <c r="C63" s="465"/>
      <c r="D63" s="465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  <c r="U63" s="465"/>
      <c r="V63" s="465"/>
      <c r="W63" s="465"/>
      <c r="X63" s="465"/>
      <c r="Y63" s="465"/>
      <c r="Z63" s="465"/>
      <c r="AA63" s="465"/>
      <c r="AB63" s="465"/>
      <c r="AC63" s="465"/>
      <c r="AD63" s="465"/>
      <c r="AE63" s="465"/>
      <c r="AF63" s="465"/>
      <c r="AG63" s="465"/>
      <c r="AH63" s="465"/>
      <c r="AI63" s="465"/>
      <c r="AJ63" s="465"/>
      <c r="AK63" s="465"/>
    </row>
    <row r="64" spans="1:37">
      <c r="D64" s="1"/>
      <c r="E64" s="1"/>
      <c r="H64" s="1"/>
      <c r="I64" s="1"/>
    </row>
    <row r="65" spans="4:9">
      <c r="D65" s="1"/>
      <c r="E65" s="1"/>
      <c r="H65" s="1"/>
      <c r="I65" s="1"/>
    </row>
    <row r="66" spans="4:9">
      <c r="D66" s="1"/>
      <c r="E66" s="1"/>
      <c r="H66" s="1"/>
      <c r="I66" s="1"/>
    </row>
    <row r="67" spans="4:9">
      <c r="D67" s="1"/>
      <c r="E67" s="1"/>
      <c r="H67" s="1"/>
    </row>
    <row r="91" spans="4:12">
      <c r="D91" s="1"/>
      <c r="E91" s="1"/>
      <c r="H91" s="1"/>
      <c r="I91" s="1"/>
      <c r="L91" s="307"/>
    </row>
    <row r="92" spans="4:12">
      <c r="D92" s="1"/>
      <c r="E92" s="1"/>
      <c r="H92" s="1"/>
      <c r="I92" s="1"/>
      <c r="L92" s="307"/>
    </row>
    <row r="93" spans="4:12">
      <c r="D93" s="1"/>
      <c r="E93" s="1"/>
      <c r="H93" s="1"/>
      <c r="I93" s="1"/>
      <c r="L93" s="307"/>
    </row>
    <row r="94" spans="4:12">
      <c r="D94" s="1"/>
      <c r="E94" s="1"/>
      <c r="H94" s="1"/>
      <c r="I94" s="1"/>
      <c r="L94" s="307"/>
    </row>
  </sheetData>
  <sheetProtection formatCells="0"/>
  <phoneticPr fontId="23" type="noConversion"/>
  <printOptions horizontalCentered="1" verticalCentered="1" gridLinesSet="0"/>
  <pageMargins left="0.75" right="0.75" top="0.75" bottom="0.75" header="0.5" footer="0.5"/>
  <pageSetup paperSize="0" scale="78" orientation="portrait" horizontalDpi="4294967292" verticalDpi="4294967292"/>
  <headerFooter alignWithMargins="0"/>
  <ignoredErrors>
    <ignoredError sqref="C8:I8" unlockedFormula="1"/>
  </ignoredErrors>
  <legacyDrawing r:id="rId1"/>
  <oleObjects>
    <oleObject progId="MSPhotoEd.3" shapeId="7204" r:id="rId2"/>
    <oleObject progId="MSPhotoEd.3" shapeId="7205" r:id="rId3"/>
    <oleObject progId="MSPhotoEd.3" shapeId="7206" r:id="rId4"/>
    <oleObject progId="MSPhotoEd.3" shapeId="7207" r:id="rId5"/>
    <oleObject progId="MSPhotoEd.3" shapeId="7208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syncHorizontal="1" syncRef="A1">
    <pageSetUpPr fitToPage="1"/>
  </sheetPr>
  <dimension ref="A1:R96"/>
  <sheetViews>
    <sheetView showGridLines="0" tabSelected="1" defaultGridColor="0" colorId="8" workbookViewId="0">
      <selection activeCell="D11" sqref="D11"/>
    </sheetView>
  </sheetViews>
  <sheetFormatPr defaultColWidth="10.7109375" defaultRowHeight="12.75"/>
  <cols>
    <col min="1" max="1" width="6.140625" style="304" customWidth="1"/>
    <col min="2" max="2" width="18.140625" style="304" customWidth="1"/>
    <col min="3" max="3" width="11.140625" style="304" customWidth="1"/>
    <col min="4" max="4" width="10" style="304" customWidth="1"/>
    <col min="5" max="5" width="8.7109375" style="304" customWidth="1"/>
    <col min="6" max="6" width="18.5703125" style="304" customWidth="1"/>
    <col min="7" max="7" width="8.42578125" style="304" customWidth="1"/>
    <col min="8" max="8" width="1.42578125" style="304" customWidth="1"/>
    <col min="9" max="9" width="15.7109375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>
      <c r="A3" s="98"/>
      <c r="B3" s="101"/>
      <c r="C3" s="102" t="s">
        <v>386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3.5" thickBot="1">
      <c r="A4" s="98"/>
      <c r="B4" s="57"/>
      <c r="C4" s="104" t="s">
        <v>330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5"/>
      <c r="L4" s="45"/>
      <c r="M4" s="45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45"/>
      <c r="L5" s="45"/>
      <c r="M5" s="45"/>
      <c r="N5" s="45"/>
      <c r="O5" s="45"/>
      <c r="P5" s="45"/>
      <c r="Q5" s="45"/>
      <c r="R5" s="45"/>
    </row>
    <row r="6" spans="1:18" ht="17.25" thickTop="1" thickBot="1">
      <c r="A6" s="107"/>
      <c r="B6" s="108" t="s">
        <v>320</v>
      </c>
      <c r="C6" s="96"/>
      <c r="D6" s="96" t="s">
        <v>333</v>
      </c>
      <c r="E6" s="96"/>
      <c r="F6" s="109" t="s">
        <v>300</v>
      </c>
      <c r="G6" s="57"/>
      <c r="H6" s="58" t="s">
        <v>126</v>
      </c>
      <c r="I6" s="59"/>
      <c r="J6" s="45"/>
      <c r="K6" s="45"/>
      <c r="L6" s="45"/>
      <c r="M6" s="45"/>
      <c r="N6" s="45"/>
      <c r="O6" s="45"/>
      <c r="P6" s="45"/>
      <c r="Q6" s="45"/>
      <c r="R6" s="45"/>
    </row>
    <row r="7" spans="1:18" ht="13.5" thickTop="1">
      <c r="A7" s="107"/>
      <c r="B7" s="108" t="s">
        <v>387</v>
      </c>
      <c r="C7" s="96"/>
      <c r="D7" s="96" t="s">
        <v>332</v>
      </c>
      <c r="E7" s="96"/>
      <c r="F7" s="109" t="s">
        <v>79</v>
      </c>
      <c r="G7" s="65"/>
      <c r="H7" s="66" t="s">
        <v>304</v>
      </c>
      <c r="I7" s="67"/>
      <c r="J7" s="45"/>
      <c r="K7" s="45"/>
      <c r="L7" s="45"/>
      <c r="M7" s="45"/>
      <c r="N7" s="45"/>
      <c r="O7" s="45"/>
      <c r="P7" s="45"/>
      <c r="Q7" s="45"/>
      <c r="R7" s="45"/>
    </row>
    <row r="8" spans="1:18" ht="16.5" thickBot="1">
      <c r="A8" s="110"/>
      <c r="B8" s="111" t="s">
        <v>389</v>
      </c>
      <c r="C8" s="112"/>
      <c r="D8" s="112" t="s">
        <v>334</v>
      </c>
      <c r="E8" s="113"/>
      <c r="F8" s="114" t="s">
        <v>308</v>
      </c>
      <c r="G8" s="72"/>
      <c r="H8" s="73" t="str">
        <f>[0]!ActiveMaterial</f>
        <v>Fiberglass 7781 Bidirectional</v>
      </c>
      <c r="I8" s="74"/>
      <c r="J8" s="75"/>
      <c r="K8" s="45"/>
      <c r="L8" s="45"/>
      <c r="M8" s="45"/>
      <c r="N8" s="45"/>
      <c r="O8" s="45"/>
      <c r="P8" s="45"/>
      <c r="Q8" s="45"/>
      <c r="R8" s="45"/>
    </row>
    <row r="9" spans="1:18" ht="14.25" thickTop="1" thickBot="1">
      <c r="A9" s="110"/>
      <c r="B9" s="115"/>
      <c r="C9" s="116"/>
      <c r="D9" s="116" t="str">
        <f>ForceUnits</f>
        <v>lb</v>
      </c>
      <c r="E9" s="117"/>
      <c r="F9" s="118" t="str">
        <f>DistanceUnits</f>
        <v>in</v>
      </c>
      <c r="G9" s="76"/>
      <c r="H9" s="66" t="s">
        <v>310</v>
      </c>
      <c r="I9" s="52"/>
      <c r="J9" s="75"/>
      <c r="K9" s="45"/>
      <c r="L9" s="45"/>
      <c r="M9" s="45"/>
      <c r="N9" s="45"/>
      <c r="O9" s="45"/>
      <c r="P9" s="45"/>
      <c r="Q9" s="45"/>
      <c r="R9" s="45"/>
    </row>
    <row r="10" spans="1:18" ht="14.25" thickTop="1" thickBot="1">
      <c r="A10" s="110"/>
      <c r="B10" s="5">
        <v>2</v>
      </c>
      <c r="C10" s="119"/>
      <c r="D10" s="6">
        <v>539</v>
      </c>
      <c r="E10" s="120"/>
      <c r="F10" s="8">
        <f>12.3*12</f>
        <v>147.60000000000002</v>
      </c>
      <c r="G10" s="77"/>
      <c r="H10" s="78" t="str">
        <f>[0]!ActiveSection</f>
        <v>Elliptical</v>
      </c>
      <c r="I10" s="79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13.5" thickTop="1">
      <c r="A11" s="46" t="s">
        <v>390</v>
      </c>
      <c r="B11" s="659">
        <v>1</v>
      </c>
      <c r="C11" s="658" t="s">
        <v>388</v>
      </c>
      <c r="D11" s="45"/>
      <c r="E11" s="657"/>
      <c r="F11" s="657"/>
      <c r="G11" s="80" t="s">
        <v>300</v>
      </c>
      <c r="H11" s="45"/>
      <c r="I11" s="80" t="s">
        <v>300</v>
      </c>
      <c r="J11" s="81"/>
      <c r="K11" s="45"/>
      <c r="L11" s="45"/>
      <c r="M11" s="45"/>
      <c r="N11" s="45"/>
      <c r="O11" s="45"/>
      <c r="P11" s="45"/>
      <c r="Q11" s="45"/>
      <c r="R11" s="45"/>
    </row>
    <row r="12" spans="1:18">
      <c r="A12" s="46" t="s">
        <v>390</v>
      </c>
      <c r="B12" s="659">
        <v>0.5</v>
      </c>
      <c r="C12" s="658" t="s">
        <v>391</v>
      </c>
      <c r="D12" s="45"/>
      <c r="E12" s="657"/>
      <c r="F12" s="657"/>
      <c r="G12" s="82" t="s">
        <v>314</v>
      </c>
      <c r="H12" s="45"/>
      <c r="I12" s="82" t="str">
        <f>IF(ActiveUnits="SI", "Mass", "Weight")</f>
        <v>Weight</v>
      </c>
      <c r="J12" s="45"/>
      <c r="K12" s="45"/>
      <c r="L12" s="45"/>
      <c r="M12" s="45"/>
      <c r="N12" s="45"/>
      <c r="O12" s="45"/>
      <c r="P12" s="45"/>
      <c r="Q12" s="45"/>
      <c r="R12" s="45"/>
    </row>
    <row r="13" spans="1:18">
      <c r="A13" s="46" t="s">
        <v>390</v>
      </c>
      <c r="B13" s="660">
        <f>1/SQRT(2)</f>
        <v>0.70710678118654746</v>
      </c>
      <c r="C13" s="658" t="s">
        <v>392</v>
      </c>
      <c r="D13" s="45"/>
      <c r="E13" s="657"/>
      <c r="F13" s="657"/>
      <c r="G13" s="82">
        <f>A_CS*L</f>
        <v>1825.8151104500485</v>
      </c>
      <c r="H13" s="45"/>
      <c r="I13" s="656">
        <f>G13*[0]!Density</f>
        <v>138.76194839420367</v>
      </c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13.5" thickBot="1">
      <c r="A14" s="46" t="s">
        <v>390</v>
      </c>
      <c r="B14" s="659">
        <v>2</v>
      </c>
      <c r="C14" s="658" t="s">
        <v>393</v>
      </c>
      <c r="D14" s="45"/>
      <c r="E14" s="657"/>
      <c r="F14" s="657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16.5" thickTop="1" thickBot="1">
      <c r="A15" s="45"/>
      <c r="B15" s="45"/>
      <c r="C15" s="131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15.75" thickTop="1">
      <c r="A16" s="45"/>
      <c r="B16" s="45"/>
      <c r="C16" s="131"/>
      <c r="D16" s="45"/>
      <c r="E16" s="45"/>
      <c r="F16" s="45"/>
      <c r="G16" s="45"/>
      <c r="H16" s="45"/>
      <c r="I16" s="88" t="s">
        <v>396</v>
      </c>
      <c r="J16" s="75"/>
      <c r="K16" s="45"/>
      <c r="L16" s="45"/>
      <c r="M16" s="45"/>
      <c r="N16" s="45"/>
      <c r="O16" s="45"/>
      <c r="P16" s="45"/>
      <c r="Q16" s="45"/>
      <c r="R16" s="45"/>
    </row>
    <row r="17" spans="1:18" ht="15">
      <c r="A17" s="45"/>
      <c r="B17" s="45"/>
      <c r="C17" s="131"/>
      <c r="D17" s="45"/>
      <c r="E17" s="45"/>
      <c r="F17" s="45"/>
      <c r="G17" s="45"/>
      <c r="H17" s="45"/>
      <c r="I17" s="82" t="s">
        <v>332</v>
      </c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15">
      <c r="A18" s="45"/>
      <c r="B18" s="45"/>
      <c r="C18" s="131"/>
      <c r="D18" s="45"/>
      <c r="E18" s="45"/>
      <c r="F18" s="45"/>
      <c r="G18" s="45"/>
      <c r="H18" s="45"/>
      <c r="I18" s="82">
        <f>PI()^2 * P * E*Ix/(a*L)^2</f>
        <v>53868467.05187276</v>
      </c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13.5" thickBot="1">
      <c r="A19" s="45"/>
      <c r="B19" s="45"/>
      <c r="C19" s="107" t="s">
        <v>332</v>
      </c>
      <c r="D19" s="45"/>
      <c r="E19" s="45"/>
      <c r="F19" s="45"/>
      <c r="G19" s="45"/>
      <c r="H19" s="45"/>
      <c r="I19" s="84" t="str">
        <f>SUBSTITUTE("M", "M", MassNWeightUnits)</f>
        <v>lb</v>
      </c>
      <c r="J19" s="45"/>
      <c r="K19" s="45"/>
      <c r="L19" s="45"/>
      <c r="M19" s="45"/>
      <c r="N19" s="45"/>
      <c r="O19" s="45"/>
      <c r="P19" s="45"/>
      <c r="Q19" s="45"/>
      <c r="R19" s="45"/>
    </row>
    <row r="20" spans="1:18" ht="16.5" thickTop="1" thickBot="1">
      <c r="A20" s="45"/>
      <c r="B20" s="45"/>
      <c r="C20" s="131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5.75" thickTop="1">
      <c r="A21" s="45"/>
      <c r="B21" s="45"/>
      <c r="C21" s="131"/>
      <c r="D21" s="45"/>
      <c r="E21" s="45"/>
      <c r="F21" s="45"/>
      <c r="G21" s="45"/>
      <c r="H21" s="45"/>
      <c r="I21" s="88" t="s">
        <v>394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15">
      <c r="A22" s="45"/>
      <c r="B22" s="45"/>
      <c r="C22" s="131"/>
      <c r="D22" s="45"/>
      <c r="E22" s="45"/>
      <c r="F22" s="45"/>
      <c r="G22" s="45"/>
      <c r="H22" s="45"/>
      <c r="I22" s="82" t="s">
        <v>395</v>
      </c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15">
      <c r="A23" s="45"/>
      <c r="B23" s="45"/>
      <c r="C23" s="131"/>
      <c r="D23" s="45"/>
      <c r="E23" s="45"/>
      <c r="F23" s="45"/>
      <c r="G23" s="45"/>
      <c r="H23" s="45"/>
      <c r="I23" s="82" t="s">
        <v>332</v>
      </c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15.75" thickBot="1">
      <c r="A24" s="45"/>
      <c r="B24" s="45"/>
      <c r="C24" s="131"/>
      <c r="D24" s="45"/>
      <c r="E24" s="45"/>
      <c r="F24" s="45"/>
      <c r="G24" s="45"/>
      <c r="H24" s="45"/>
      <c r="I24" s="85">
        <f>IF(ABS(R10)/[0]!Strength &lt; 1, ABS(R10)/[0]!Strength, "FAILED.")</f>
        <v>0</v>
      </c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15.75" thickTop="1">
      <c r="A25" s="45"/>
      <c r="B25" s="45"/>
      <c r="C25" s="131"/>
      <c r="D25" s="45"/>
      <c r="E25" s="45"/>
      <c r="F25" s="45"/>
      <c r="G25" s="45"/>
      <c r="H25" s="45"/>
      <c r="I25" s="45"/>
      <c r="J25" s="87"/>
      <c r="K25" s="45"/>
      <c r="L25" s="45"/>
      <c r="M25" s="45"/>
      <c r="N25" s="45"/>
      <c r="O25" s="45"/>
      <c r="P25" s="45"/>
      <c r="Q25" s="45"/>
      <c r="R25" s="45"/>
    </row>
    <row r="26" spans="1:18" ht="15">
      <c r="A26" s="45"/>
      <c r="B26" s="45"/>
      <c r="C26" s="131"/>
      <c r="D26" s="45"/>
      <c r="E26" s="45"/>
      <c r="F26" s="45"/>
      <c r="G26" s="45"/>
      <c r="H26" s="45"/>
      <c r="I26" s="45"/>
      <c r="J26" s="87"/>
      <c r="K26" s="45"/>
      <c r="L26" s="45"/>
      <c r="M26" s="45"/>
      <c r="N26" s="45"/>
      <c r="O26" s="45"/>
      <c r="P26" s="45"/>
      <c r="Q26" s="45"/>
      <c r="R26" s="45"/>
    </row>
    <row r="27" spans="1:18" ht="15">
      <c r="A27" s="45"/>
      <c r="B27" s="45"/>
      <c r="C27" s="131"/>
      <c r="D27" s="45"/>
      <c r="E27" s="45"/>
      <c r="F27" s="45"/>
      <c r="G27" s="45"/>
      <c r="H27" s="45"/>
      <c r="I27" s="45"/>
      <c r="J27" s="87"/>
      <c r="K27" s="45"/>
      <c r="L27" s="45"/>
      <c r="M27" s="45"/>
      <c r="N27" s="45"/>
      <c r="O27" s="45"/>
      <c r="P27" s="45"/>
      <c r="Q27" s="45"/>
      <c r="R27" s="45"/>
    </row>
    <row r="28" spans="1:18" ht="15">
      <c r="A28" s="45"/>
      <c r="B28" s="45"/>
      <c r="C28" s="131"/>
      <c r="D28" s="45"/>
      <c r="E28" s="45"/>
      <c r="F28" s="45"/>
      <c r="G28" s="45"/>
      <c r="H28" s="45"/>
      <c r="I28" s="45"/>
      <c r="J28" s="87"/>
      <c r="K28" s="45"/>
      <c r="L28" s="45"/>
      <c r="M28" s="45"/>
      <c r="N28" s="45"/>
      <c r="O28" s="45"/>
      <c r="P28" s="45"/>
      <c r="Q28" s="45"/>
      <c r="R28" s="45"/>
    </row>
    <row r="29" spans="1:18" ht="15">
      <c r="A29" s="45"/>
      <c r="B29" s="45"/>
      <c r="C29" s="131"/>
      <c r="D29" s="45"/>
      <c r="E29" s="45"/>
      <c r="F29" s="45"/>
      <c r="G29" s="45"/>
      <c r="H29" s="45"/>
      <c r="I29" s="45"/>
      <c r="J29" s="87"/>
      <c r="K29" s="45"/>
      <c r="L29" s="45"/>
      <c r="M29" s="45"/>
      <c r="N29" s="45"/>
      <c r="O29" s="45"/>
      <c r="P29" s="45"/>
      <c r="Q29" s="45"/>
      <c r="R29" s="45"/>
    </row>
    <row r="30" spans="1:18" ht="15">
      <c r="A30" s="45"/>
      <c r="B30" s="45"/>
      <c r="C30" s="131"/>
      <c r="D30" s="45"/>
      <c r="E30" s="45"/>
      <c r="F30" s="45"/>
      <c r="G30" s="45"/>
      <c r="H30" s="45"/>
      <c r="I30" s="45"/>
      <c r="J30" s="87"/>
      <c r="K30" s="45"/>
      <c r="L30" s="45"/>
      <c r="M30" s="45"/>
      <c r="N30" s="45"/>
      <c r="O30" s="45"/>
      <c r="P30" s="45"/>
      <c r="Q30" s="45"/>
      <c r="R30" s="45"/>
    </row>
    <row r="31" spans="1:18" ht="15">
      <c r="A31" s="45"/>
      <c r="B31" s="45"/>
      <c r="C31" s="131"/>
      <c r="D31" s="45"/>
      <c r="E31" s="45"/>
      <c r="F31" s="45"/>
      <c r="G31" s="45"/>
      <c r="H31" s="45"/>
      <c r="I31" s="45"/>
      <c r="J31" s="87"/>
      <c r="K31" s="45"/>
      <c r="L31" s="45"/>
      <c r="M31" s="45"/>
      <c r="N31" s="45"/>
      <c r="O31" s="45"/>
      <c r="P31" s="45"/>
      <c r="Q31" s="45"/>
      <c r="R31" s="45"/>
    </row>
    <row r="32" spans="1:18" ht="15">
      <c r="A32" s="45"/>
      <c r="B32" s="45"/>
      <c r="C32" s="131"/>
      <c r="D32" s="45"/>
      <c r="E32" s="45"/>
      <c r="F32" s="45"/>
      <c r="G32" s="45"/>
      <c r="H32" s="45"/>
      <c r="I32" s="45"/>
      <c r="J32" s="87"/>
      <c r="K32" s="45"/>
      <c r="L32" s="45"/>
      <c r="M32" s="45"/>
      <c r="N32" s="45"/>
      <c r="O32" s="45"/>
      <c r="P32" s="45"/>
      <c r="Q32" s="45"/>
      <c r="R32" s="45"/>
    </row>
    <row r="33" spans="1:18" ht="15">
      <c r="A33" s="45"/>
      <c r="B33" s="45"/>
      <c r="C33" s="131"/>
      <c r="D33" s="45"/>
      <c r="E33" s="45"/>
      <c r="F33" s="45"/>
      <c r="G33" s="45"/>
      <c r="H33" s="45"/>
      <c r="I33" s="45"/>
      <c r="J33" s="87"/>
      <c r="K33" s="45"/>
      <c r="L33" s="45"/>
      <c r="M33" s="45"/>
      <c r="N33" s="45"/>
      <c r="O33" s="45"/>
      <c r="P33" s="45"/>
      <c r="Q33" s="45"/>
      <c r="R33" s="45"/>
    </row>
    <row r="34" spans="1:18" ht="15">
      <c r="A34" s="45"/>
      <c r="B34" s="45"/>
      <c r="C34" s="131"/>
      <c r="D34" s="45"/>
      <c r="E34" s="45"/>
      <c r="F34" s="45"/>
      <c r="G34" s="45"/>
      <c r="H34" s="45"/>
      <c r="I34" s="45"/>
      <c r="J34" s="87"/>
      <c r="K34" s="45"/>
      <c r="L34" s="45"/>
      <c r="M34" s="45"/>
      <c r="N34" s="45"/>
      <c r="O34" s="45"/>
      <c r="P34" s="45"/>
      <c r="Q34" s="45"/>
      <c r="R34" s="45"/>
    </row>
    <row r="35" spans="1:18" ht="15">
      <c r="A35" s="45"/>
      <c r="B35" s="45"/>
      <c r="C35" s="131"/>
      <c r="D35" s="45"/>
      <c r="E35" s="45"/>
      <c r="F35" s="45"/>
      <c r="G35" s="45"/>
      <c r="H35" s="45"/>
      <c r="I35" s="45"/>
      <c r="J35" s="87"/>
      <c r="K35" s="45"/>
      <c r="L35" s="45"/>
      <c r="M35" s="45"/>
      <c r="N35" s="45"/>
      <c r="O35" s="45"/>
      <c r="P35" s="45"/>
      <c r="Q35" s="45"/>
      <c r="R35" s="45"/>
    </row>
    <row r="36" spans="1:18" ht="15">
      <c r="A36" s="45"/>
      <c r="B36" s="45"/>
      <c r="C36" s="131"/>
      <c r="D36" s="45"/>
      <c r="E36" s="45"/>
      <c r="F36" s="45"/>
      <c r="G36" s="45"/>
      <c r="H36" s="45"/>
      <c r="I36" s="45"/>
      <c r="J36" s="87"/>
      <c r="K36" s="45"/>
      <c r="L36" s="45"/>
      <c r="M36" s="45"/>
      <c r="N36" s="45"/>
      <c r="O36" s="45"/>
      <c r="P36" s="45"/>
      <c r="Q36" s="45"/>
      <c r="R36" s="45"/>
    </row>
    <row r="37" spans="1:18" ht="15">
      <c r="A37" s="45"/>
      <c r="B37" s="45"/>
      <c r="C37" s="131"/>
      <c r="D37" s="45"/>
      <c r="E37" s="45"/>
      <c r="F37" s="45"/>
      <c r="G37" s="45"/>
      <c r="H37" s="45"/>
      <c r="I37" s="45"/>
      <c r="J37" s="87"/>
      <c r="K37" s="45"/>
      <c r="L37" s="45"/>
      <c r="M37" s="45"/>
      <c r="N37" s="45"/>
      <c r="O37" s="45"/>
      <c r="P37" s="45"/>
      <c r="Q37" s="45"/>
      <c r="R37" s="45"/>
    </row>
    <row r="38" spans="1:18" ht="15">
      <c r="A38" s="45"/>
      <c r="B38" s="45"/>
      <c r="C38" s="131"/>
      <c r="D38" s="45"/>
      <c r="E38" s="45"/>
      <c r="F38" s="45"/>
      <c r="G38" s="45"/>
      <c r="H38" s="45"/>
      <c r="I38" s="45"/>
      <c r="J38" s="87"/>
      <c r="K38" s="45"/>
      <c r="L38" s="45"/>
      <c r="M38" s="45"/>
      <c r="N38" s="45"/>
      <c r="O38" s="45"/>
      <c r="P38" s="45"/>
      <c r="Q38" s="45"/>
      <c r="R38" s="45"/>
    </row>
    <row r="39" spans="1:18" ht="15">
      <c r="A39" s="45"/>
      <c r="B39" s="45"/>
      <c r="C39" s="131"/>
      <c r="D39" s="45"/>
      <c r="E39" s="45"/>
      <c r="F39" s="45"/>
      <c r="G39" s="45"/>
      <c r="H39" s="45"/>
      <c r="I39" s="45"/>
      <c r="J39" s="87"/>
      <c r="K39" s="45"/>
      <c r="L39" s="45"/>
      <c r="M39" s="45"/>
      <c r="N39" s="45"/>
      <c r="O39" s="45"/>
      <c r="P39" s="45"/>
      <c r="Q39" s="45"/>
      <c r="R39" s="45"/>
    </row>
    <row r="40" spans="1:18" ht="15">
      <c r="A40" s="45"/>
      <c r="B40" s="45"/>
      <c r="C40" s="131"/>
      <c r="D40" s="45"/>
      <c r="E40" s="45"/>
      <c r="F40" s="45"/>
      <c r="G40" s="45"/>
      <c r="H40" s="45"/>
      <c r="I40" s="45"/>
      <c r="J40" s="87"/>
      <c r="K40" s="45"/>
      <c r="L40" s="45"/>
      <c r="M40" s="45"/>
      <c r="N40" s="45"/>
      <c r="O40" s="45"/>
      <c r="P40" s="45"/>
      <c r="Q40" s="45"/>
      <c r="R40" s="45"/>
    </row>
    <row r="41" spans="1:18" ht="15">
      <c r="A41" s="45"/>
      <c r="B41" s="45"/>
      <c r="C41" s="131"/>
      <c r="D41" s="45"/>
      <c r="E41" s="45"/>
      <c r="F41" s="45"/>
      <c r="G41" s="45"/>
      <c r="H41" s="45"/>
      <c r="I41" s="45"/>
      <c r="J41" s="87"/>
      <c r="K41" s="45"/>
      <c r="L41" s="45"/>
      <c r="M41" s="45"/>
      <c r="N41" s="45"/>
      <c r="O41" s="45"/>
      <c r="P41" s="45"/>
      <c r="Q41" s="45"/>
      <c r="R41" s="45"/>
    </row>
    <row r="42" spans="1:18">
      <c r="A42" s="45"/>
      <c r="B42" s="45"/>
      <c r="C42" s="45"/>
      <c r="D42" s="45"/>
      <c r="E42" s="45"/>
      <c r="F42" s="45"/>
      <c r="G42" s="45"/>
      <c r="H42" s="45"/>
      <c r="I42" s="45"/>
      <c r="J42" s="87"/>
      <c r="K42" s="45"/>
      <c r="L42" s="45"/>
      <c r="M42" s="45"/>
      <c r="N42" s="45"/>
      <c r="O42" s="45"/>
      <c r="P42" s="45"/>
      <c r="Q42" s="45"/>
      <c r="R42" s="45"/>
    </row>
    <row r="43" spans="1:18" ht="15">
      <c r="A43" s="45"/>
      <c r="B43" s="45"/>
      <c r="C43" s="131"/>
      <c r="D43" s="129" t="s">
        <v>329</v>
      </c>
      <c r="E43" s="45"/>
      <c r="F43" s="45"/>
      <c r="G43" s="45"/>
      <c r="H43" s="45"/>
      <c r="I43" s="45"/>
      <c r="J43" s="87"/>
      <c r="K43" s="45"/>
      <c r="L43" s="45"/>
      <c r="M43" s="45"/>
      <c r="N43" s="45"/>
      <c r="O43" s="45"/>
      <c r="P43" s="45"/>
      <c r="Q43" s="45"/>
      <c r="R43" s="45"/>
    </row>
    <row r="44" spans="1:18" ht="15">
      <c r="A44" s="45"/>
      <c r="B44" s="45"/>
      <c r="C44" s="131"/>
      <c r="D44" s="129" t="s">
        <v>329</v>
      </c>
      <c r="E44" s="45"/>
      <c r="F44" s="45"/>
      <c r="G44" s="45"/>
      <c r="H44" s="45"/>
      <c r="I44" s="45"/>
      <c r="J44" s="87"/>
      <c r="K44" s="45"/>
      <c r="L44" s="45"/>
      <c r="M44" s="45"/>
      <c r="N44" s="45"/>
      <c r="O44" s="45"/>
      <c r="P44" s="45"/>
      <c r="Q44" s="45"/>
      <c r="R44" s="45"/>
    </row>
    <row r="45" spans="1:18" ht="15">
      <c r="A45" s="45"/>
      <c r="B45" s="45"/>
      <c r="C45" s="131"/>
      <c r="D45" s="129" t="s">
        <v>329</v>
      </c>
      <c r="E45" s="45"/>
      <c r="F45" s="45"/>
      <c r="G45" s="45"/>
      <c r="H45" s="45"/>
      <c r="I45" s="45"/>
      <c r="J45" s="87"/>
      <c r="K45" s="45"/>
      <c r="L45" s="45"/>
      <c r="M45" s="45"/>
      <c r="N45" s="45"/>
      <c r="O45" s="45"/>
      <c r="P45" s="45"/>
      <c r="Q45" s="45"/>
      <c r="R45" s="45"/>
    </row>
    <row r="46" spans="1:18" ht="15">
      <c r="A46" s="45"/>
      <c r="B46" s="45"/>
      <c r="C46" s="131"/>
      <c r="D46" s="129" t="s">
        <v>329</v>
      </c>
      <c r="E46" s="45"/>
      <c r="F46" s="45"/>
      <c r="G46" s="45"/>
      <c r="H46" s="45"/>
      <c r="I46" s="45"/>
      <c r="J46" s="87"/>
      <c r="K46" s="45"/>
      <c r="L46" s="45"/>
      <c r="M46" s="45"/>
      <c r="N46" s="45"/>
      <c r="O46" s="45"/>
      <c r="P46" s="45"/>
      <c r="Q46" s="45"/>
      <c r="R46" s="45"/>
    </row>
    <row r="47" spans="1:18" ht="15">
      <c r="A47" s="45"/>
      <c r="B47" s="45"/>
      <c r="C47" s="131"/>
      <c r="D47" s="129" t="s">
        <v>329</v>
      </c>
      <c r="E47" s="45"/>
      <c r="F47" s="45"/>
      <c r="G47" s="45"/>
      <c r="H47" s="45"/>
      <c r="I47" s="45"/>
      <c r="J47" s="87"/>
      <c r="K47" s="45"/>
      <c r="L47" s="45"/>
      <c r="M47" s="45"/>
      <c r="N47" s="45"/>
      <c r="O47" s="45"/>
      <c r="P47" s="45"/>
      <c r="Q47" s="45"/>
      <c r="R47" s="45"/>
    </row>
    <row r="48" spans="1:18" ht="15">
      <c r="A48" s="45"/>
      <c r="B48" s="45"/>
      <c r="C48" s="131"/>
      <c r="D48" s="129" t="s">
        <v>329</v>
      </c>
      <c r="E48" s="45"/>
      <c r="F48" s="45"/>
      <c r="G48" s="45"/>
      <c r="H48" s="45"/>
      <c r="I48" s="45"/>
      <c r="J48" s="87"/>
      <c r="K48" s="45"/>
      <c r="L48" s="45"/>
      <c r="M48" s="45"/>
      <c r="N48" s="45"/>
      <c r="O48" s="45"/>
      <c r="P48" s="45"/>
      <c r="Q48" s="45"/>
      <c r="R48" s="45"/>
    </row>
    <row r="49" spans="1:18" ht="15">
      <c r="A49" s="45"/>
      <c r="B49" s="45"/>
      <c r="C49" s="131"/>
      <c r="D49" s="129" t="s">
        <v>329</v>
      </c>
      <c r="E49" s="45"/>
      <c r="F49" s="45"/>
      <c r="G49" s="45"/>
      <c r="H49" s="45"/>
      <c r="I49" s="45"/>
      <c r="J49" s="87"/>
      <c r="K49" s="45"/>
      <c r="L49" s="45"/>
      <c r="M49" s="45"/>
      <c r="N49" s="45"/>
      <c r="O49" s="45"/>
      <c r="P49" s="45"/>
      <c r="Q49" s="45"/>
      <c r="R49" s="45"/>
    </row>
    <row r="50" spans="1:18" ht="15">
      <c r="A50" s="45"/>
      <c r="B50" s="45"/>
      <c r="C50" s="131"/>
      <c r="D50" s="129" t="s">
        <v>329</v>
      </c>
      <c r="E50" s="45"/>
      <c r="F50" s="45"/>
      <c r="G50" s="45"/>
      <c r="H50" s="45"/>
      <c r="I50" s="45"/>
      <c r="J50" s="87"/>
      <c r="K50" s="45"/>
      <c r="L50" s="45"/>
      <c r="M50" s="45"/>
      <c r="N50" s="45"/>
      <c r="O50" s="45"/>
      <c r="P50" s="45"/>
      <c r="Q50" s="45"/>
      <c r="R50" s="45"/>
    </row>
    <row r="51" spans="1:18" ht="15">
      <c r="A51" s="45"/>
      <c r="B51" s="45"/>
      <c r="C51" s="131"/>
      <c r="D51" s="129" t="s">
        <v>329</v>
      </c>
      <c r="E51" s="45"/>
      <c r="F51" s="45"/>
      <c r="G51" s="45"/>
      <c r="H51" s="45"/>
      <c r="I51" s="45"/>
      <c r="J51" s="87"/>
      <c r="K51" s="45"/>
      <c r="L51" s="45"/>
      <c r="M51" s="45"/>
      <c r="N51" s="45"/>
      <c r="O51" s="45"/>
      <c r="P51" s="45"/>
      <c r="Q51" s="45"/>
      <c r="R51" s="45"/>
    </row>
    <row r="52" spans="1:18" ht="15">
      <c r="A52" s="45"/>
      <c r="B52" s="45"/>
      <c r="C52" s="131"/>
      <c r="D52" s="129" t="s">
        <v>329</v>
      </c>
      <c r="E52" s="45"/>
      <c r="F52" s="45"/>
      <c r="G52" s="45"/>
      <c r="H52" s="45"/>
      <c r="I52" s="45"/>
      <c r="J52" s="87"/>
      <c r="K52" s="45"/>
      <c r="L52" s="45"/>
      <c r="M52" s="45"/>
      <c r="N52" s="45"/>
      <c r="O52" s="45"/>
      <c r="P52" s="45"/>
      <c r="Q52" s="45"/>
      <c r="R52" s="45"/>
    </row>
    <row r="53" spans="1:18" ht="15">
      <c r="A53" s="45"/>
      <c r="B53" s="45"/>
      <c r="C53" s="131"/>
      <c r="D53" s="129" t="s">
        <v>329</v>
      </c>
      <c r="E53" s="45"/>
      <c r="F53" s="45"/>
      <c r="G53" s="45"/>
      <c r="H53" s="45"/>
      <c r="I53" s="45"/>
      <c r="J53" s="87"/>
      <c r="K53" s="45"/>
      <c r="L53" s="45"/>
      <c r="M53" s="45"/>
      <c r="N53" s="45"/>
      <c r="O53" s="45"/>
      <c r="P53" s="45"/>
      <c r="Q53" s="45"/>
      <c r="R53" s="45"/>
    </row>
    <row r="54" spans="1:18" ht="15">
      <c r="A54" s="45"/>
      <c r="B54" s="45"/>
      <c r="C54" s="131"/>
      <c r="D54" s="129" t="s">
        <v>329</v>
      </c>
      <c r="E54" s="45"/>
      <c r="F54" s="45"/>
      <c r="G54" s="45"/>
      <c r="H54" s="45"/>
      <c r="I54" s="45"/>
      <c r="J54" s="87"/>
      <c r="K54" s="45"/>
      <c r="L54" s="45"/>
      <c r="M54" s="45"/>
      <c r="N54" s="45"/>
      <c r="O54" s="45"/>
      <c r="P54" s="45"/>
      <c r="Q54" s="45"/>
      <c r="R54" s="45"/>
    </row>
    <row r="55" spans="1:18" ht="15">
      <c r="A55" s="45"/>
      <c r="B55" s="45"/>
      <c r="C55" s="131"/>
      <c r="D55" s="129" t="s">
        <v>329</v>
      </c>
      <c r="E55" s="45"/>
      <c r="F55" s="45"/>
      <c r="G55" s="45"/>
      <c r="H55" s="45"/>
      <c r="I55" s="45"/>
      <c r="J55" s="87"/>
      <c r="K55" s="45"/>
      <c r="L55" s="45"/>
      <c r="M55" s="45"/>
      <c r="N55" s="45"/>
      <c r="O55" s="45"/>
      <c r="P55" s="45"/>
      <c r="Q55" s="45"/>
      <c r="R55" s="45"/>
    </row>
    <row r="56" spans="1:18" ht="15">
      <c r="A56" s="45"/>
      <c r="B56" s="45"/>
      <c r="C56" s="131"/>
      <c r="D56" s="129" t="s">
        <v>329</v>
      </c>
      <c r="E56" s="45"/>
      <c r="F56" s="45"/>
      <c r="G56" s="45"/>
      <c r="H56" s="45"/>
      <c r="I56" s="45"/>
      <c r="J56" s="87"/>
      <c r="K56" s="45"/>
      <c r="L56" s="45"/>
      <c r="M56" s="45"/>
      <c r="N56" s="45"/>
      <c r="O56" s="45"/>
      <c r="P56" s="45"/>
      <c r="Q56" s="45"/>
      <c r="R56" s="45"/>
    </row>
    <row r="57" spans="1:18" ht="15">
      <c r="A57" s="45"/>
      <c r="B57" s="45"/>
      <c r="C57" s="131"/>
      <c r="D57" s="129" t="s">
        <v>329</v>
      </c>
      <c r="E57" s="45"/>
      <c r="F57" s="45"/>
      <c r="G57" s="45"/>
      <c r="H57" s="45"/>
      <c r="I57" s="45"/>
      <c r="J57" s="87"/>
      <c r="K57" s="45"/>
      <c r="L57" s="45"/>
      <c r="M57" s="45"/>
      <c r="N57" s="45"/>
      <c r="O57" s="45"/>
      <c r="P57" s="45"/>
      <c r="Q57" s="45"/>
      <c r="R57" s="45"/>
    </row>
    <row r="58" spans="1:18" ht="15">
      <c r="A58" s="45"/>
      <c r="B58" s="45"/>
      <c r="C58" s="131"/>
      <c r="D58" s="129" t="s">
        <v>329</v>
      </c>
      <c r="E58" s="45"/>
      <c r="F58" s="45"/>
      <c r="G58" s="45"/>
      <c r="H58" s="45"/>
      <c r="I58" s="45"/>
      <c r="J58" s="87"/>
      <c r="K58" s="45"/>
      <c r="L58" s="45"/>
      <c r="M58" s="45"/>
      <c r="N58" s="45"/>
      <c r="O58" s="45"/>
      <c r="P58" s="45"/>
      <c r="Q58" s="45"/>
      <c r="R58" s="45"/>
    </row>
    <row r="59" spans="1:18" ht="15">
      <c r="A59" s="45"/>
      <c r="B59" s="45"/>
      <c r="C59" s="131"/>
      <c r="D59" s="129" t="s">
        <v>329</v>
      </c>
      <c r="E59" s="45"/>
      <c r="F59" s="45"/>
      <c r="G59" s="45"/>
      <c r="H59" s="45"/>
      <c r="I59" s="45"/>
      <c r="J59" s="87"/>
      <c r="K59" s="45"/>
      <c r="L59" s="45"/>
      <c r="M59" s="45"/>
      <c r="N59" s="45"/>
      <c r="O59" s="45"/>
      <c r="P59" s="45"/>
      <c r="Q59" s="45"/>
      <c r="R59" s="45"/>
    </row>
    <row r="60" spans="1:18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45"/>
      <c r="L60" s="45"/>
      <c r="M60" s="45"/>
      <c r="N60" s="45"/>
      <c r="O60" s="45"/>
      <c r="P60" s="45"/>
      <c r="Q60" s="45"/>
      <c r="R60" s="45"/>
    </row>
    <row r="61" spans="1:18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45"/>
      <c r="L61" s="45"/>
      <c r="M61" s="45"/>
      <c r="N61" s="45"/>
      <c r="O61" s="45"/>
      <c r="P61" s="45"/>
      <c r="Q61" s="45"/>
      <c r="R61" s="45"/>
    </row>
    <row r="62" spans="1:18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45"/>
      <c r="L62" s="45"/>
      <c r="M62" s="45"/>
      <c r="N62" s="45"/>
      <c r="O62" s="45"/>
      <c r="P62" s="45"/>
      <c r="Q62" s="45"/>
      <c r="R62" s="45"/>
    </row>
    <row r="64" spans="1:18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rintOptions horizontalCentered="1" verticalCentered="1" gridLinesSet="0"/>
  <pageMargins left="0.75" right="0.75" top="0.6" bottom="0.6" header="0.5" footer="0.5"/>
  <pageSetup scale="56" orientation="landscape" horizontalDpi="4294967292" verticalDpi="4294967292"/>
  <headerFooter alignWithMargins="0"/>
  <drawing r:id="rId1"/>
  <legacyDrawing r:id="rId2"/>
  <oleObjects>
    <oleObject progId="MSPhotoEd.3" shapeId="101377" r:id="rId3"/>
    <oleObject progId="MSPhotoEd.3" shapeId="101378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syncHorizontal="1" syncRef="A1" codeName="Sheet7">
    <pageSetUpPr fitToPage="1"/>
  </sheetPr>
  <dimension ref="A1:R96"/>
  <sheetViews>
    <sheetView showGridLines="0" defaultGridColor="0" colorId="8" workbookViewId="0">
      <selection activeCell="S20" sqref="S20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7.42578125" style="304" customWidth="1"/>
    <col min="8" max="8" width="1.42578125" style="304" customWidth="1"/>
    <col min="9" max="9" width="8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290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330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331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294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/>
      <c r="D6" s="96" t="s">
        <v>333</v>
      </c>
      <c r="E6" s="96"/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 t="s">
        <v>302</v>
      </c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260</v>
      </c>
      <c r="C7" s="96"/>
      <c r="D7" s="96" t="s">
        <v>332</v>
      </c>
      <c r="E7" s="96"/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17.25" thickTop="1" thickBot="1">
      <c r="A8" s="110"/>
      <c r="B8" s="111" t="s">
        <v>306</v>
      </c>
      <c r="C8" s="112"/>
      <c r="D8" s="112" t="s">
        <v>334</v>
      </c>
      <c r="E8" s="113"/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0</v>
      </c>
      <c r="N8" s="27">
        <f t="shared" ca="1" si="0"/>
        <v>-2.2737652346506413E-5</v>
      </c>
      <c r="O8" s="27">
        <f t="shared" ca="1" si="0"/>
        <v>-8</v>
      </c>
      <c r="P8" s="27">
        <f t="shared" ca="1" si="0"/>
        <v>-0.64672484811944775</v>
      </c>
      <c r="Q8" s="27">
        <f t="shared" ca="1" si="0"/>
        <v>-1.1368683772161603E-13</v>
      </c>
      <c r="R8" s="28">
        <f t="shared" ca="1" si="0"/>
        <v>-2.370550419625348E-15</v>
      </c>
    </row>
    <row r="9" spans="1:18" ht="14.25" thickTop="1" thickBot="1">
      <c r="A9" s="110"/>
      <c r="B9" s="115" t="str">
        <f>[0]!DistanceUnits</f>
        <v>in</v>
      </c>
      <c r="C9" s="116"/>
      <c r="D9" s="116" t="str">
        <f>ForceUnits</f>
        <v>lb</v>
      </c>
      <c r="E9" s="117"/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22.222222222222204</v>
      </c>
      <c r="N9" s="32">
        <f t="shared" ca="1" si="1"/>
        <v>0</v>
      </c>
      <c r="O9" s="32">
        <f t="shared" ca="1" si="1"/>
        <v>16</v>
      </c>
      <c r="P9" s="32">
        <f t="shared" ca="1" si="1"/>
        <v>1.2934496962388955</v>
      </c>
      <c r="Q9" s="32">
        <f t="shared" ca="1" si="1"/>
        <v>190.07999999999998</v>
      </c>
      <c r="R9" s="33">
        <f t="shared" ca="1" si="1"/>
        <v>3.9634687074835546</v>
      </c>
    </row>
    <row r="10" spans="1:18" ht="14.25" thickTop="1" thickBot="1">
      <c r="A10" s="110"/>
      <c r="B10" s="5">
        <v>12</v>
      </c>
      <c r="C10" s="119"/>
      <c r="D10" s="6">
        <v>24</v>
      </c>
      <c r="E10" s="120"/>
      <c r="F10" s="8">
        <v>36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22.222222222222204</v>
      </c>
      <c r="N10" s="32">
        <f t="shared" ca="1" si="2"/>
        <v>-2.2737652346506413E-5</v>
      </c>
      <c r="O10" s="32">
        <f t="shared" ca="1" si="2"/>
        <v>16</v>
      </c>
      <c r="P10" s="32">
        <f t="shared" ca="1" si="2"/>
        <v>1.2934496962388955</v>
      </c>
      <c r="Q10" s="32">
        <f t="shared" ca="1" si="2"/>
        <v>190.07999999999998</v>
      </c>
      <c r="R10" s="33">
        <f t="shared" ca="1" si="2"/>
        <v>3.9634687074835546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12.24</v>
      </c>
      <c r="N11" s="37">
        <f t="shared" ca="1" si="3"/>
        <v>16.560000000000006</v>
      </c>
      <c r="O11" s="37">
        <f t="shared" ca="1" si="3"/>
        <v>0</v>
      </c>
      <c r="P11" s="37">
        <f t="shared" ca="1" si="3"/>
        <v>0</v>
      </c>
      <c r="Q11" s="37">
        <f t="shared" ca="1" si="3"/>
        <v>12.24</v>
      </c>
      <c r="R11" s="38">
        <f t="shared" ca="1" si="3"/>
        <v>12.24</v>
      </c>
    </row>
    <row r="12" spans="1:18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>IF(AND(x &lt;= a, a &lt; L13), ( (L13-a)/(L13-x) * P/((L13-x)) ),  0)</f>
        <v>0</v>
      </c>
      <c r="N12" s="39">
        <f ca="1">IF(AND(0 &lt;= x, x &lt;= a), a_C2 + a_C1*x + (Ra*x^3)/(6*(E*Ix)), a_C2p + a_C1p*x + (Rb*((L*x^2)/2 - x^3/6))/(E*Ix))</f>
        <v>0</v>
      </c>
      <c r="O12" s="39">
        <f ca="1">IF(x&lt;a,Ra,-Rb)</f>
        <v>16</v>
      </c>
      <c r="P12" s="39">
        <f t="shared" ref="P12:P43" ca="1" si="5">V/A_CS</f>
        <v>1.2934496962388955</v>
      </c>
      <c r="Q12" s="39">
        <f ca="1">IF(x&lt;a,Ra*x,Rb*(L - x))</f>
        <v>0</v>
      </c>
      <c r="R12" s="41">
        <f t="shared" ref="R12:R43" ca="1" si="6">Ybar*Q12/Ix</f>
        <v>0</v>
      </c>
    </row>
    <row r="13" spans="1:18">
      <c r="A13" s="45"/>
      <c r="B13" s="121"/>
      <c r="C13" s="122"/>
      <c r="D13" s="122"/>
      <c r="E13" s="122"/>
      <c r="F13" s="121"/>
      <c r="G13" s="82">
        <f>A_CS*L</f>
        <v>445.32075864635317</v>
      </c>
      <c r="H13" s="45"/>
      <c r="I13" s="83">
        <f>G13*[0]!Density</f>
        <v>33.844377657122841</v>
      </c>
      <c r="J13" s="45"/>
      <c r="K13" s="29">
        <f t="shared" ref="K13:K44" si="7">K12+0.02</f>
        <v>0.02</v>
      </c>
      <c r="L13" s="39">
        <f t="shared" si="4"/>
        <v>0.72</v>
      </c>
      <c r="M13" s="40">
        <f t="shared" ref="M13:M44" si="8">IF(AND(x &lt;= a, a &lt; L14), ( (L14-a)/(L14-x) * P/((x-L12)/2+(L14-x)/2) ), IF(AND(L12 &lt; a, a &lt;= x), (  (a - L12)/(x - L12)*P/((x-L12)/2+(L14-x)/2) ), 0))</f>
        <v>0</v>
      </c>
      <c r="N13" s="39">
        <f t="shared" ref="N13:N28" ca="1" si="9">IF(AND(0 &lt;= x, x &lt;= a), a_C2 + a_C1*x + (Ra*x^3)/(6*(E*Ix)), a_C2p + a_C1p*x + (Rb*((L*x^2)/2 - x^3/6))/(E*Ix))</f>
        <v>-1.5654604782664688E-6</v>
      </c>
      <c r="O13" s="39">
        <f t="shared" ref="O13:O28" ca="1" si="10">IF(x&lt;a,Ra,-Rb)</f>
        <v>16</v>
      </c>
      <c r="P13" s="39">
        <f t="shared" ca="1" si="5"/>
        <v>1.2934496962388955</v>
      </c>
      <c r="Q13" s="39">
        <f t="shared" ref="Q13:Q28" ca="1" si="11">IF(x&lt;a,Ra*x,Rb*(L - x))</f>
        <v>11.52</v>
      </c>
      <c r="R13" s="41">
        <f t="shared" ca="1" si="6"/>
        <v>0.240210224695973</v>
      </c>
    </row>
    <row r="14" spans="1:18" ht="13.5" thickBot="1">
      <c r="A14" s="45"/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7"/>
        <v>0.04</v>
      </c>
      <c r="L14" s="39">
        <f t="shared" si="4"/>
        <v>1.44</v>
      </c>
      <c r="M14" s="40">
        <f t="shared" si="8"/>
        <v>0</v>
      </c>
      <c r="N14" s="39">
        <f t="shared" ca="1" si="9"/>
        <v>-3.124153294550199E-6</v>
      </c>
      <c r="O14" s="39">
        <f t="shared" ca="1" si="10"/>
        <v>16</v>
      </c>
      <c r="P14" s="39">
        <f t="shared" ca="1" si="5"/>
        <v>1.2934496962388955</v>
      </c>
      <c r="Q14" s="39">
        <f t="shared" ca="1" si="11"/>
        <v>23.04</v>
      </c>
      <c r="R14" s="41">
        <f t="shared" ca="1" si="6"/>
        <v>0.480420449391946</v>
      </c>
    </row>
    <row r="15" spans="1:18" ht="14.25" thickTop="1" thickBot="1">
      <c r="A15" s="45"/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7"/>
        <v>0.06</v>
      </c>
      <c r="L15" s="39">
        <f t="shared" si="4"/>
        <v>2.16</v>
      </c>
      <c r="M15" s="40">
        <f t="shared" si="8"/>
        <v>0</v>
      </c>
      <c r="N15" s="39">
        <f t="shared" ca="1" si="9"/>
        <v>-4.6693107868684522E-6</v>
      </c>
      <c r="O15" s="39">
        <f t="shared" ca="1" si="10"/>
        <v>16</v>
      </c>
      <c r="P15" s="39">
        <f t="shared" ca="1" si="5"/>
        <v>1.2934496962388955</v>
      </c>
      <c r="Q15" s="39">
        <f t="shared" ca="1" si="11"/>
        <v>34.56</v>
      </c>
      <c r="R15" s="41">
        <f t="shared" ca="1" si="6"/>
        <v>0.72063067408791914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7"/>
        <v>0.08</v>
      </c>
      <c r="L16" s="39">
        <f t="shared" si="4"/>
        <v>2.88</v>
      </c>
      <c r="M16" s="40">
        <f t="shared" si="8"/>
        <v>0</v>
      </c>
      <c r="N16" s="39">
        <f t="shared" ca="1" si="9"/>
        <v>-6.1941652932384882E-6</v>
      </c>
      <c r="O16" s="39">
        <f t="shared" ca="1" si="10"/>
        <v>16</v>
      </c>
      <c r="P16" s="39">
        <f t="shared" ca="1" si="5"/>
        <v>1.2934496962388955</v>
      </c>
      <c r="Q16" s="39">
        <f t="shared" ca="1" si="11"/>
        <v>46.08</v>
      </c>
      <c r="R16" s="41">
        <f t="shared" ca="1" si="6"/>
        <v>0.96084089878389201</v>
      </c>
    </row>
    <row r="17" spans="1:18">
      <c r="A17" s="107" t="s">
        <v>332</v>
      </c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7"/>
        <v>0.1</v>
      </c>
      <c r="L17" s="39">
        <f t="shared" si="4"/>
        <v>3.6</v>
      </c>
      <c r="M17" s="40">
        <f t="shared" si="8"/>
        <v>0</v>
      </c>
      <c r="N17" s="39">
        <f t="shared" ca="1" si="9"/>
        <v>-7.6919491516775705E-6</v>
      </c>
      <c r="O17" s="39">
        <f t="shared" ca="1" si="10"/>
        <v>16</v>
      </c>
      <c r="P17" s="39">
        <f t="shared" ca="1" si="5"/>
        <v>1.2934496962388955</v>
      </c>
      <c r="Q17" s="39">
        <f t="shared" ca="1" si="11"/>
        <v>57.6</v>
      </c>
      <c r="R17" s="41">
        <f t="shared" ca="1" si="6"/>
        <v>1.2010511234798651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7"/>
        <v>0.12000000000000001</v>
      </c>
      <c r="L18" s="39">
        <f t="shared" si="4"/>
        <v>4.32</v>
      </c>
      <c r="M18" s="40">
        <f t="shared" si="8"/>
        <v>0</v>
      </c>
      <c r="N18" s="39">
        <f t="shared" ca="1" si="9"/>
        <v>-9.155894700202959E-6</v>
      </c>
      <c r="O18" s="39">
        <f t="shared" ca="1" si="10"/>
        <v>16</v>
      </c>
      <c r="P18" s="39">
        <f t="shared" ca="1" si="5"/>
        <v>1.2934496962388955</v>
      </c>
      <c r="Q18" s="39">
        <f t="shared" ca="1" si="11"/>
        <v>69.12</v>
      </c>
      <c r="R18" s="41">
        <f t="shared" ca="1" si="6"/>
        <v>1.4412613481758383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1.6514452947848145E-4</v>
      </c>
      <c r="J19" s="45"/>
      <c r="K19" s="29">
        <f t="shared" si="7"/>
        <v>0.14000000000000001</v>
      </c>
      <c r="L19" s="39">
        <f t="shared" si="4"/>
        <v>5.0400000000000009</v>
      </c>
      <c r="M19" s="40">
        <f t="shared" si="8"/>
        <v>0</v>
      </c>
      <c r="N19" s="39">
        <f t="shared" ca="1" si="9"/>
        <v>-1.0579234276831916E-5</v>
      </c>
      <c r="O19" s="39">
        <f t="shared" ca="1" si="10"/>
        <v>16</v>
      </c>
      <c r="P19" s="39">
        <f t="shared" ca="1" si="5"/>
        <v>1.2934496962388955</v>
      </c>
      <c r="Q19" s="39">
        <f t="shared" ca="1" si="11"/>
        <v>80.640000000000015</v>
      </c>
      <c r="R19" s="41">
        <f t="shared" ca="1" si="6"/>
        <v>1.6814715728718115</v>
      </c>
    </row>
    <row r="20" spans="1:18" ht="14.25" thickTop="1" thickBot="1">
      <c r="A20" s="45"/>
      <c r="B20" s="96" t="s">
        <v>316</v>
      </c>
      <c r="C20" s="121"/>
      <c r="D20" s="121"/>
      <c r="E20" s="121"/>
      <c r="F20" s="96" t="s">
        <v>317</v>
      </c>
      <c r="G20" s="45"/>
      <c r="H20" s="45"/>
      <c r="I20" s="45"/>
      <c r="J20" s="45"/>
      <c r="K20" s="29">
        <f t="shared" si="7"/>
        <v>0.16</v>
      </c>
      <c r="L20" s="39">
        <f t="shared" si="4"/>
        <v>5.76</v>
      </c>
      <c r="M20" s="40">
        <f t="shared" si="8"/>
        <v>0</v>
      </c>
      <c r="N20" s="39">
        <f t="shared" ca="1" si="9"/>
        <v>-1.1955200219581698E-5</v>
      </c>
      <c r="O20" s="39">
        <f t="shared" ca="1" si="10"/>
        <v>16</v>
      </c>
      <c r="P20" s="39">
        <f t="shared" ca="1" si="5"/>
        <v>1.2934496962388955</v>
      </c>
      <c r="Q20" s="39">
        <f t="shared" ca="1" si="11"/>
        <v>92.16</v>
      </c>
      <c r="R20" s="41">
        <f t="shared" ca="1" si="6"/>
        <v>1.921681797567784</v>
      </c>
    </row>
    <row r="21" spans="1:18" ht="13.5" thickTop="1">
      <c r="A21" s="45"/>
      <c r="B21" s="97">
        <f ca="1">IF(IsValidUser, (1 - a/L)*P,"Time To Pay")</f>
        <v>16</v>
      </c>
      <c r="C21" s="121"/>
      <c r="D21" s="121"/>
      <c r="E21" s="121"/>
      <c r="F21" s="97">
        <f>(a*P)/L</f>
        <v>8</v>
      </c>
      <c r="G21" s="45"/>
      <c r="H21" s="45"/>
      <c r="I21" s="80" t="s">
        <v>318</v>
      </c>
      <c r="J21" s="45"/>
      <c r="K21" s="29">
        <f t="shared" si="7"/>
        <v>0.18</v>
      </c>
      <c r="L21" s="39">
        <f t="shared" si="4"/>
        <v>6.4799999999999995</v>
      </c>
      <c r="M21" s="40">
        <f t="shared" si="8"/>
        <v>0</v>
      </c>
      <c r="N21" s="39">
        <f t="shared" ca="1" si="9"/>
        <v>-1.3277024866469574E-5</v>
      </c>
      <c r="O21" s="39">
        <f t="shared" ca="1" si="10"/>
        <v>16</v>
      </c>
      <c r="P21" s="39">
        <f t="shared" ca="1" si="5"/>
        <v>1.2934496962388955</v>
      </c>
      <c r="Q21" s="39">
        <f t="shared" ca="1" si="11"/>
        <v>103.67999999999999</v>
      </c>
      <c r="R21" s="41">
        <f t="shared" ca="1" si="6"/>
        <v>2.161892022263757</v>
      </c>
    </row>
    <row r="22" spans="1:18">
      <c r="A22" s="75"/>
      <c r="B22" s="127" t="str">
        <f>ForceUnits</f>
        <v>lb</v>
      </c>
      <c r="C22" s="121"/>
      <c r="D22" s="121"/>
      <c r="E22" s="121"/>
      <c r="F22" s="127" t="str">
        <f>ForceUnits</f>
        <v>lb</v>
      </c>
      <c r="G22" s="45"/>
      <c r="H22" s="45"/>
      <c r="I22" s="82" t="s">
        <v>296</v>
      </c>
      <c r="J22" s="45"/>
      <c r="K22" s="29">
        <f t="shared" si="7"/>
        <v>0.19999999999999998</v>
      </c>
      <c r="L22" s="39">
        <f t="shared" si="4"/>
        <v>7.1999999999999993</v>
      </c>
      <c r="M22" s="40">
        <f t="shared" si="8"/>
        <v>0</v>
      </c>
      <c r="N22" s="39">
        <f t="shared" ca="1" si="9"/>
        <v>-1.4537940555512799E-5</v>
      </c>
      <c r="O22" s="39">
        <f t="shared" ca="1" si="10"/>
        <v>16</v>
      </c>
      <c r="P22" s="39">
        <f t="shared" ca="1" si="5"/>
        <v>1.2934496962388955</v>
      </c>
      <c r="Q22" s="39">
        <f t="shared" ca="1" si="11"/>
        <v>115.19999999999999</v>
      </c>
      <c r="R22" s="41">
        <f t="shared" ca="1" si="6"/>
        <v>2.4021022469597297</v>
      </c>
    </row>
    <row r="23" spans="1:18">
      <c r="A23" s="45"/>
      <c r="B23" s="121"/>
      <c r="C23" s="121"/>
      <c r="D23" s="121"/>
      <c r="E23" s="121"/>
      <c r="F23" s="121"/>
      <c r="G23" s="45"/>
      <c r="H23" s="45"/>
      <c r="I23" s="86" t="s">
        <v>303</v>
      </c>
      <c r="J23" s="45"/>
      <c r="K23" s="29">
        <f t="shared" si="7"/>
        <v>0.21999999999999997</v>
      </c>
      <c r="L23" s="39">
        <f t="shared" si="4"/>
        <v>7.919999999999999</v>
      </c>
      <c r="M23" s="40">
        <f t="shared" si="8"/>
        <v>0</v>
      </c>
      <c r="N23" s="39">
        <f t="shared" ca="1" si="9"/>
        <v>-1.5731179624728637E-5</v>
      </c>
      <c r="O23" s="39">
        <f t="shared" ca="1" si="10"/>
        <v>16</v>
      </c>
      <c r="P23" s="39">
        <f t="shared" ca="1" si="5"/>
        <v>1.2934496962388955</v>
      </c>
      <c r="Q23" s="39">
        <f t="shared" ca="1" si="11"/>
        <v>126.71999999999998</v>
      </c>
      <c r="R23" s="41">
        <f t="shared" ca="1" si="6"/>
        <v>2.6423124716557029</v>
      </c>
    </row>
    <row r="24" spans="1:18" ht="13.5" thickBot="1">
      <c r="A24" s="45"/>
      <c r="B24" s="121"/>
      <c r="C24" s="121"/>
      <c r="D24" s="121"/>
      <c r="E24" s="121"/>
      <c r="F24" s="121"/>
      <c r="G24" s="45"/>
      <c r="H24" s="45"/>
      <c r="I24" s="85">
        <f ca="1">IF(ABS(P10)/[0]!Strength &lt; 1, ABS(P10)/[0]!Strength, "FAILED.")</f>
        <v>5.3893737343287312E-5</v>
      </c>
      <c r="J24" s="45"/>
      <c r="K24" s="29">
        <f t="shared" si="7"/>
        <v>0.23999999999999996</v>
      </c>
      <c r="L24" s="39">
        <f t="shared" si="4"/>
        <v>8.6399999999999988</v>
      </c>
      <c r="M24" s="40">
        <f t="shared" si="8"/>
        <v>0</v>
      </c>
      <c r="N24" s="39">
        <f t="shared" ca="1" si="9"/>
        <v>-1.6849974412134352E-5</v>
      </c>
      <c r="O24" s="39">
        <f t="shared" ca="1" si="10"/>
        <v>16</v>
      </c>
      <c r="P24" s="39">
        <f t="shared" ca="1" si="5"/>
        <v>1.2934496962388955</v>
      </c>
      <c r="Q24" s="39">
        <f t="shared" ca="1" si="11"/>
        <v>138.23999999999998</v>
      </c>
      <c r="R24" s="41">
        <f t="shared" ca="1" si="6"/>
        <v>2.8825226963516757</v>
      </c>
    </row>
    <row r="25" spans="1:18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29">
        <f t="shared" si="7"/>
        <v>0.25999999999999995</v>
      </c>
      <c r="L25" s="39">
        <f t="shared" si="4"/>
        <v>9.3599999999999977</v>
      </c>
      <c r="M25" s="40">
        <f t="shared" si="8"/>
        <v>0</v>
      </c>
      <c r="N25" s="39">
        <f t="shared" ca="1" si="9"/>
        <v>-1.7887557255747199E-5</v>
      </c>
      <c r="O25" s="39">
        <f t="shared" ca="1" si="10"/>
        <v>16</v>
      </c>
      <c r="P25" s="39">
        <f t="shared" ca="1" si="5"/>
        <v>1.2934496962388955</v>
      </c>
      <c r="Q25" s="39">
        <f t="shared" ca="1" si="11"/>
        <v>149.75999999999996</v>
      </c>
      <c r="R25" s="41">
        <f t="shared" ca="1" si="6"/>
        <v>3.1227329210476484</v>
      </c>
    </row>
    <row r="26" spans="1:18" ht="13.5" thickTop="1">
      <c r="A26" s="80" t="s">
        <v>320</v>
      </c>
      <c r="B26" s="121"/>
      <c r="C26" s="121"/>
      <c r="D26" s="121"/>
      <c r="E26" s="121"/>
      <c r="F26" s="121"/>
      <c r="G26" s="88" t="s">
        <v>320</v>
      </c>
      <c r="H26" s="45"/>
      <c r="I26" s="89" t="s">
        <v>321</v>
      </c>
      <c r="J26" s="87"/>
      <c r="K26" s="29">
        <f t="shared" si="7"/>
        <v>0.27999999999999997</v>
      </c>
      <c r="L26" s="39">
        <f t="shared" si="4"/>
        <v>10.079999999999998</v>
      </c>
      <c r="M26" s="40">
        <f t="shared" si="8"/>
        <v>0</v>
      </c>
      <c r="N26" s="39">
        <f t="shared" ca="1" si="9"/>
        <v>-1.8837160493584446E-5</v>
      </c>
      <c r="O26" s="39">
        <f t="shared" ca="1" si="10"/>
        <v>16</v>
      </c>
      <c r="P26" s="39">
        <f t="shared" ca="1" si="5"/>
        <v>1.2934496962388955</v>
      </c>
      <c r="Q26" s="39">
        <f t="shared" ca="1" si="11"/>
        <v>161.27999999999997</v>
      </c>
      <c r="R26" s="41">
        <f t="shared" ca="1" si="6"/>
        <v>3.3629431457436216</v>
      </c>
    </row>
    <row r="27" spans="1:18">
      <c r="A27" s="93" t="s">
        <v>322</v>
      </c>
      <c r="B27" s="121"/>
      <c r="C27" s="121"/>
      <c r="D27" s="121"/>
      <c r="E27" s="121"/>
      <c r="F27" s="121"/>
      <c r="G27" s="90" t="s">
        <v>322</v>
      </c>
      <c r="H27" s="45"/>
      <c r="I27" s="91" t="s">
        <v>295</v>
      </c>
      <c r="J27" s="87"/>
      <c r="K27" s="29">
        <f t="shared" si="7"/>
        <v>0.3</v>
      </c>
      <c r="L27" s="39">
        <f t="shared" si="4"/>
        <v>10.799999999999999</v>
      </c>
      <c r="M27" s="40">
        <f t="shared" si="8"/>
        <v>0</v>
      </c>
      <c r="N27" s="39">
        <f t="shared" ca="1" si="9"/>
        <v>-1.9692016463663353E-5</v>
      </c>
      <c r="O27" s="39">
        <f t="shared" ca="1" si="10"/>
        <v>16</v>
      </c>
      <c r="P27" s="39">
        <f t="shared" ca="1" si="5"/>
        <v>1.2934496962388955</v>
      </c>
      <c r="Q27" s="39">
        <f t="shared" ca="1" si="11"/>
        <v>172.79999999999998</v>
      </c>
      <c r="R27" s="41">
        <f t="shared" ca="1" si="6"/>
        <v>3.6031533704395948</v>
      </c>
    </row>
    <row r="28" spans="1:18">
      <c r="A28" s="82">
        <f ca="1">DEGREES(a_C1)</f>
        <v>-1.2466514557036621E-4</v>
      </c>
      <c r="B28" s="121"/>
      <c r="C28" s="121"/>
      <c r="D28" s="121"/>
      <c r="E28" s="121"/>
      <c r="F28" s="121"/>
      <c r="G28" s="82">
        <f ca="1">(180/PI())*(a_C1p + (L^2*Rb)/(2*(E*Ix)))</f>
        <v>9.9732116456292973E-5</v>
      </c>
      <c r="H28" s="45"/>
      <c r="I28" s="91">
        <f ca="1">N10</f>
        <v>-2.2737652346506413E-5</v>
      </c>
      <c r="J28" s="87"/>
      <c r="K28" s="29">
        <f t="shared" si="7"/>
        <v>0.32</v>
      </c>
      <c r="L28" s="39">
        <f t="shared" si="4"/>
        <v>11.52</v>
      </c>
      <c r="M28" s="40">
        <f t="shared" si="8"/>
        <v>11.111111111111102</v>
      </c>
      <c r="N28" s="39">
        <f t="shared" ca="1" si="9"/>
        <v>-2.0445357504001173E-5</v>
      </c>
      <c r="O28" s="39">
        <f t="shared" ca="1" si="10"/>
        <v>16</v>
      </c>
      <c r="P28" s="39">
        <f t="shared" ca="1" si="5"/>
        <v>1.2934496962388955</v>
      </c>
      <c r="Q28" s="39">
        <f t="shared" ca="1" si="11"/>
        <v>184.32</v>
      </c>
      <c r="R28" s="41">
        <f t="shared" ca="1" si="6"/>
        <v>3.843363595135568</v>
      </c>
    </row>
    <row r="29" spans="1:18" ht="13.5" thickBot="1">
      <c r="A29" s="84" t="s">
        <v>323</v>
      </c>
      <c r="B29" s="121"/>
      <c r="C29" s="121"/>
      <c r="D29" s="121"/>
      <c r="E29" s="121"/>
      <c r="F29" s="121"/>
      <c r="G29" s="84" t="s">
        <v>323</v>
      </c>
      <c r="H29" s="45"/>
      <c r="I29" s="92" t="str">
        <f>DistanceUnits</f>
        <v>in</v>
      </c>
      <c r="J29" s="87"/>
      <c r="K29" s="29">
        <f t="shared" si="7"/>
        <v>0.34</v>
      </c>
      <c r="L29" s="39">
        <f t="shared" si="4"/>
        <v>12.24</v>
      </c>
      <c r="M29" s="40">
        <f t="shared" si="8"/>
        <v>22.222222222222204</v>
      </c>
      <c r="N29" s="39">
        <f t="shared" ref="N29:N44" ca="1" si="12">IF(AND(0 &lt;= x, x &lt;= a), a_C2 + a_C1*x + (Ra*x^3)/(6*(E*Ix)), a_C2p + a_C1p*x + (Rb*((L*x^2)/2 - x^3/6))/(E*Ix))</f>
        <v>-2.1090478616152058E-5</v>
      </c>
      <c r="O29" s="39">
        <f t="shared" ref="O29:O44" si="13">IF(x&lt;a,Ra,-Rb)</f>
        <v>-8</v>
      </c>
      <c r="P29" s="39">
        <f t="shared" si="5"/>
        <v>-0.64672484811944775</v>
      </c>
      <c r="Q29" s="39">
        <f t="shared" ref="Q29:Q44" si="14">IF(x&lt;a,Ra*x,Rb*(L - x))</f>
        <v>190.07999999999998</v>
      </c>
      <c r="R29" s="41">
        <f t="shared" si="6"/>
        <v>3.9634687074835546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7"/>
        <v>0.36000000000000004</v>
      </c>
      <c r="L30" s="39">
        <f t="shared" si="4"/>
        <v>12.96</v>
      </c>
      <c r="M30" s="40">
        <f t="shared" si="8"/>
        <v>0</v>
      </c>
      <c r="N30" s="39">
        <f t="shared" ca="1" si="12"/>
        <v>-2.1624434613882767E-5</v>
      </c>
      <c r="O30" s="39">
        <f t="shared" si="13"/>
        <v>-8</v>
      </c>
      <c r="P30" s="39">
        <f t="shared" si="5"/>
        <v>-0.64672484811944775</v>
      </c>
      <c r="Q30" s="39">
        <f t="shared" si="14"/>
        <v>184.32</v>
      </c>
      <c r="R30" s="41">
        <f t="shared" si="6"/>
        <v>3.843363595135568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7"/>
        <v>0.38000000000000006</v>
      </c>
      <c r="L31" s="39">
        <f t="shared" si="4"/>
        <v>13.680000000000001</v>
      </c>
      <c r="M31" s="40">
        <f t="shared" si="8"/>
        <v>0</v>
      </c>
      <c r="N31" s="39">
        <f t="shared" ca="1" si="12"/>
        <v>-2.2050108019889668E-5</v>
      </c>
      <c r="O31" s="39">
        <f t="shared" si="13"/>
        <v>-8</v>
      </c>
      <c r="P31" s="39">
        <f t="shared" si="5"/>
        <v>-0.64672484811944775</v>
      </c>
      <c r="Q31" s="39">
        <f t="shared" si="14"/>
        <v>178.56</v>
      </c>
      <c r="R31" s="41">
        <f t="shared" si="6"/>
        <v>3.7232584827875819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7"/>
        <v>0.40000000000000008</v>
      </c>
      <c r="L32" s="39">
        <f t="shared" si="4"/>
        <v>14.400000000000002</v>
      </c>
      <c r="M32" s="40">
        <f t="shared" si="8"/>
        <v>0</v>
      </c>
      <c r="N32" s="39">
        <f t="shared" ca="1" si="12"/>
        <v>-2.2370882665164098E-5</v>
      </c>
      <c r="O32" s="39">
        <f t="shared" si="13"/>
        <v>-8</v>
      </c>
      <c r="P32" s="39">
        <f t="shared" si="5"/>
        <v>-0.64672484811944775</v>
      </c>
      <c r="Q32" s="39">
        <f t="shared" si="14"/>
        <v>172.79999999999998</v>
      </c>
      <c r="R32" s="41">
        <f t="shared" si="6"/>
        <v>3.6031533704395948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16</v>
      </c>
      <c r="J33" s="87"/>
      <c r="K33" s="29">
        <f t="shared" si="7"/>
        <v>0.4200000000000001</v>
      </c>
      <c r="L33" s="39">
        <f t="shared" si="4"/>
        <v>15.120000000000003</v>
      </c>
      <c r="M33" s="40">
        <f t="shared" si="8"/>
        <v>0</v>
      </c>
      <c r="N33" s="39">
        <f t="shared" ca="1" si="12"/>
        <v>-2.2590142380697468E-5</v>
      </c>
      <c r="O33" s="39">
        <f t="shared" si="13"/>
        <v>-8</v>
      </c>
      <c r="P33" s="39">
        <f t="shared" si="5"/>
        <v>-0.64672484811944775</v>
      </c>
      <c r="Q33" s="39">
        <f t="shared" si="14"/>
        <v>167.03999999999996</v>
      </c>
      <c r="R33" s="41">
        <f t="shared" si="6"/>
        <v>3.4830482580916078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7"/>
        <v>0.44000000000000011</v>
      </c>
      <c r="L34" s="39">
        <f t="shared" si="4"/>
        <v>15.840000000000003</v>
      </c>
      <c r="M34" s="40">
        <f t="shared" si="8"/>
        <v>0</v>
      </c>
      <c r="N34" s="39">
        <f t="shared" ca="1" si="12"/>
        <v>-2.2711270997481101E-5</v>
      </c>
      <c r="O34" s="39">
        <f t="shared" si="13"/>
        <v>-8</v>
      </c>
      <c r="P34" s="39">
        <f t="shared" si="5"/>
        <v>-0.64672484811944775</v>
      </c>
      <c r="Q34" s="39">
        <f t="shared" si="14"/>
        <v>161.27999999999997</v>
      </c>
      <c r="R34" s="41">
        <f t="shared" si="6"/>
        <v>3.3629431457436216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7"/>
        <v>0.46000000000000013</v>
      </c>
      <c r="L35" s="39">
        <f t="shared" si="4"/>
        <v>16.560000000000006</v>
      </c>
      <c r="M35" s="40">
        <f t="shared" si="8"/>
        <v>0</v>
      </c>
      <c r="N35" s="39">
        <f t="shared" ca="1" si="12"/>
        <v>-2.2737652346506413E-5</v>
      </c>
      <c r="O35" s="39">
        <f t="shared" si="13"/>
        <v>-8</v>
      </c>
      <c r="P35" s="39">
        <f t="shared" si="5"/>
        <v>-0.64672484811944775</v>
      </c>
      <c r="Q35" s="39">
        <f t="shared" si="14"/>
        <v>155.51999999999995</v>
      </c>
      <c r="R35" s="41">
        <f t="shared" si="6"/>
        <v>3.2428380333956346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7"/>
        <v>0.48000000000000015</v>
      </c>
      <c r="L36" s="39">
        <f t="shared" si="4"/>
        <v>17.280000000000005</v>
      </c>
      <c r="M36" s="40">
        <f t="shared" si="8"/>
        <v>0</v>
      </c>
      <c r="N36" s="39">
        <f t="shared" ca="1" si="12"/>
        <v>-2.2672670258764739E-5</v>
      </c>
      <c r="O36" s="39">
        <f t="shared" si="13"/>
        <v>-8</v>
      </c>
      <c r="P36" s="39">
        <f t="shared" si="5"/>
        <v>-0.64672484811944775</v>
      </c>
      <c r="Q36" s="39">
        <f t="shared" si="14"/>
        <v>149.75999999999996</v>
      </c>
      <c r="R36" s="41">
        <f t="shared" si="6"/>
        <v>3.1227329210476484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7"/>
        <v>0.50000000000000011</v>
      </c>
      <c r="L37" s="39">
        <f t="shared" si="4"/>
        <v>18.000000000000004</v>
      </c>
      <c r="M37" s="40">
        <f t="shared" si="8"/>
        <v>0</v>
      </c>
      <c r="N37" s="39">
        <f t="shared" ca="1" si="12"/>
        <v>-2.2519708565247477E-5</v>
      </c>
      <c r="O37" s="39">
        <f t="shared" si="13"/>
        <v>-8</v>
      </c>
      <c r="P37" s="39">
        <f t="shared" si="5"/>
        <v>-0.64672484811944775</v>
      </c>
      <c r="Q37" s="39">
        <f t="shared" si="14"/>
        <v>143.99999999999997</v>
      </c>
      <c r="R37" s="41">
        <f t="shared" si="6"/>
        <v>3.0026278086996623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-8</v>
      </c>
      <c r="J38" s="87"/>
      <c r="K38" s="29">
        <f t="shared" si="7"/>
        <v>0.52000000000000013</v>
      </c>
      <c r="L38" s="39">
        <f t="shared" si="4"/>
        <v>18.720000000000006</v>
      </c>
      <c r="M38" s="40">
        <f t="shared" si="8"/>
        <v>0</v>
      </c>
      <c r="N38" s="39">
        <f t="shared" ca="1" si="12"/>
        <v>-2.2282151096945978E-5</v>
      </c>
      <c r="O38" s="39">
        <f t="shared" si="13"/>
        <v>-8</v>
      </c>
      <c r="P38" s="39">
        <f t="shared" si="5"/>
        <v>-0.64672484811944775</v>
      </c>
      <c r="Q38" s="39">
        <f t="shared" si="14"/>
        <v>138.23999999999995</v>
      </c>
      <c r="R38" s="41">
        <f t="shared" si="6"/>
        <v>2.8825226963516752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7"/>
        <v>0.54000000000000015</v>
      </c>
      <c r="L39" s="39">
        <f t="shared" si="4"/>
        <v>19.440000000000005</v>
      </c>
      <c r="M39" s="40">
        <f t="shared" si="8"/>
        <v>0</v>
      </c>
      <c r="N39" s="39">
        <f t="shared" ca="1" si="12"/>
        <v>-2.1963381684851605E-5</v>
      </c>
      <c r="O39" s="39">
        <f t="shared" si="13"/>
        <v>-8</v>
      </c>
      <c r="P39" s="39">
        <f t="shared" si="5"/>
        <v>-0.64672484811944775</v>
      </c>
      <c r="Q39" s="39">
        <f t="shared" si="14"/>
        <v>132.47999999999996</v>
      </c>
      <c r="R39" s="41">
        <f t="shared" si="6"/>
        <v>2.7624175840036886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7"/>
        <v>0.56000000000000016</v>
      </c>
      <c r="L40" s="39">
        <f t="shared" si="4"/>
        <v>20.160000000000007</v>
      </c>
      <c r="M40" s="40">
        <f t="shared" si="8"/>
        <v>0</v>
      </c>
      <c r="N40" s="39">
        <f t="shared" ca="1" si="12"/>
        <v>-2.1566784159955736E-5</v>
      </c>
      <c r="O40" s="39">
        <f t="shared" si="13"/>
        <v>-8</v>
      </c>
      <c r="P40" s="39">
        <f t="shared" si="5"/>
        <v>-0.64672484811944775</v>
      </c>
      <c r="Q40" s="39">
        <f t="shared" si="14"/>
        <v>126.71999999999994</v>
      </c>
      <c r="R40" s="41">
        <f t="shared" si="6"/>
        <v>2.642312471655702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7"/>
        <v>0.58000000000000018</v>
      </c>
      <c r="L41" s="39">
        <f t="shared" si="4"/>
        <v>20.880000000000006</v>
      </c>
      <c r="M41" s="40">
        <f t="shared" si="8"/>
        <v>0</v>
      </c>
      <c r="N41" s="39">
        <f t="shared" ca="1" si="12"/>
        <v>-2.1095742353249748E-5</v>
      </c>
      <c r="O41" s="39">
        <f t="shared" si="13"/>
        <v>-8</v>
      </c>
      <c r="P41" s="39">
        <f t="shared" si="5"/>
        <v>-0.64672484811944775</v>
      </c>
      <c r="Q41" s="39">
        <f t="shared" si="14"/>
        <v>120.95999999999995</v>
      </c>
      <c r="R41" s="41">
        <f t="shared" si="6"/>
        <v>2.5222073593077154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7"/>
        <v>0.6000000000000002</v>
      </c>
      <c r="L42" s="39">
        <f t="shared" si="4"/>
        <v>21.600000000000009</v>
      </c>
      <c r="M42" s="40">
        <f t="shared" si="8"/>
        <v>0</v>
      </c>
      <c r="N42" s="39">
        <f t="shared" ca="1" si="12"/>
        <v>-2.0553640095725005E-5</v>
      </c>
      <c r="O42" s="39">
        <f t="shared" si="13"/>
        <v>-8</v>
      </c>
      <c r="P42" s="39">
        <f t="shared" si="5"/>
        <v>-0.64672484811944775</v>
      </c>
      <c r="Q42" s="39">
        <f t="shared" si="14"/>
        <v>115.19999999999993</v>
      </c>
      <c r="R42" s="41">
        <f t="shared" si="6"/>
        <v>2.4021022469597288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190.07999999999998</v>
      </c>
      <c r="J43" s="87"/>
      <c r="K43" s="29">
        <f t="shared" si="7"/>
        <v>0.62000000000000022</v>
      </c>
      <c r="L43" s="39">
        <f t="shared" si="4"/>
        <v>22.320000000000007</v>
      </c>
      <c r="M43" s="40">
        <f t="shared" si="8"/>
        <v>0</v>
      </c>
      <c r="N43" s="39">
        <f t="shared" ca="1" si="12"/>
        <v>-1.994386121837287E-5</v>
      </c>
      <c r="O43" s="39">
        <f t="shared" si="13"/>
        <v>-8</v>
      </c>
      <c r="P43" s="39">
        <f t="shared" si="5"/>
        <v>-0.64672484811944775</v>
      </c>
      <c r="Q43" s="39">
        <f t="shared" si="14"/>
        <v>109.43999999999994</v>
      </c>
      <c r="R43" s="41">
        <f t="shared" si="6"/>
        <v>2.2819971346117423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7"/>
        <v>0.64000000000000024</v>
      </c>
      <c r="L44" s="39">
        <f t="shared" ref="L44:L62" si="15">L*K44</f>
        <v>23.04000000000001</v>
      </c>
      <c r="M44" s="40">
        <f t="shared" si="8"/>
        <v>0</v>
      </c>
      <c r="N44" s="39">
        <f t="shared" ca="1" si="12"/>
        <v>-1.9269789552184695E-5</v>
      </c>
      <c r="O44" s="39">
        <f t="shared" si="13"/>
        <v>-8</v>
      </c>
      <c r="P44" s="39">
        <f t="shared" ref="P44:P62" si="16">V/A_CS</f>
        <v>-0.64672484811944775</v>
      </c>
      <c r="Q44" s="39">
        <f t="shared" si="14"/>
        <v>103.67999999999992</v>
      </c>
      <c r="R44" s="41">
        <f t="shared" ref="R44:R62" si="17">Ybar*Q44/Ix</f>
        <v>2.1618920222637557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8">K44+0.02</f>
        <v>0.66000000000000025</v>
      </c>
      <c r="L45" s="39">
        <f t="shared" si="15"/>
        <v>23.760000000000009</v>
      </c>
      <c r="M45" s="40">
        <f t="shared" ref="M45:M61" si="19">IF(AND(x &lt;= a, a &lt; L46), ( (L46-a)/(L46-x) * P/((x-L44)/2+(L46-x)/2) ), IF(AND(L44 &lt; a, a &lt;= x), (  (a - L44)/(x - L44)*P/((x-L44)/2+(L46-x)/2) ), 0))</f>
        <v>0</v>
      </c>
      <c r="N45" s="39">
        <f t="shared" ref="N45:N60" ca="1" si="20">IF(AND(0 &lt;= x, x &lt;= a), a_C2 + a_C1*x + (Ra*x^3)/(6*(E*Ix)), a_C2p + a_C1p*x + (Rb*((L*x^2)/2 - x^3/6))/(E*Ix))</f>
        <v>-1.8534808928151889E-5</v>
      </c>
      <c r="O45" s="39">
        <f t="shared" ref="O45:O60" si="21">IF(x&lt;a,Ra,-Rb)</f>
        <v>-8</v>
      </c>
      <c r="P45" s="39">
        <f t="shared" si="16"/>
        <v>-0.64672484811944775</v>
      </c>
      <c r="Q45" s="39">
        <f t="shared" ref="Q45:Q60" si="22">IF(x&lt;a,Ra*x,Rb*(L - x))</f>
        <v>97.919999999999931</v>
      </c>
      <c r="R45" s="41">
        <f t="shared" si="17"/>
        <v>2.0417869099157691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8"/>
        <v>0.68000000000000027</v>
      </c>
      <c r="L46" s="39">
        <f t="shared" si="15"/>
        <v>24.480000000000011</v>
      </c>
      <c r="M46" s="40">
        <f t="shared" si="19"/>
        <v>0</v>
      </c>
      <c r="N46" s="39">
        <f t="shared" ca="1" si="20"/>
        <v>-1.7742303177265825E-5</v>
      </c>
      <c r="O46" s="39">
        <f t="shared" si="21"/>
        <v>-8</v>
      </c>
      <c r="P46" s="39">
        <f t="shared" si="16"/>
        <v>-0.64672484811944775</v>
      </c>
      <c r="Q46" s="39">
        <f t="shared" si="22"/>
        <v>92.159999999999911</v>
      </c>
      <c r="R46" s="41">
        <f t="shared" si="17"/>
        <v>1.9216817975677822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8"/>
        <v>0.70000000000000029</v>
      </c>
      <c r="L47" s="39">
        <f t="shared" si="15"/>
        <v>25.20000000000001</v>
      </c>
      <c r="M47" s="40">
        <f t="shared" si="19"/>
        <v>0</v>
      </c>
      <c r="N47" s="39">
        <f t="shared" ca="1" si="20"/>
        <v>-1.6895656130517831E-5</v>
      </c>
      <c r="O47" s="39">
        <f t="shared" si="21"/>
        <v>-8</v>
      </c>
      <c r="P47" s="39">
        <f t="shared" si="16"/>
        <v>-0.64672484811944775</v>
      </c>
      <c r="Q47" s="39">
        <f t="shared" si="22"/>
        <v>86.39999999999992</v>
      </c>
      <c r="R47" s="41">
        <f t="shared" si="17"/>
        <v>1.8015766852197959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-1.1368683772161603E-13</v>
      </c>
      <c r="J48" s="87"/>
      <c r="K48" s="29">
        <f t="shared" si="18"/>
        <v>0.72000000000000031</v>
      </c>
      <c r="L48" s="39">
        <f t="shared" si="15"/>
        <v>25.920000000000012</v>
      </c>
      <c r="M48" s="40">
        <f t="shared" si="19"/>
        <v>0</v>
      </c>
      <c r="N48" s="39">
        <f t="shared" ca="1" si="20"/>
        <v>-1.5998251618899319E-5</v>
      </c>
      <c r="O48" s="39">
        <f t="shared" si="21"/>
        <v>-8</v>
      </c>
      <c r="P48" s="39">
        <f t="shared" si="16"/>
        <v>-0.64672484811944775</v>
      </c>
      <c r="Q48" s="39">
        <f t="shared" si="22"/>
        <v>80.639999999999901</v>
      </c>
      <c r="R48" s="41">
        <f t="shared" si="17"/>
        <v>1.681471572871809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8"/>
        <v>0.74000000000000032</v>
      </c>
      <c r="L49" s="39">
        <f t="shared" si="15"/>
        <v>26.640000000000011</v>
      </c>
      <c r="M49" s="40">
        <f t="shared" si="19"/>
        <v>0</v>
      </c>
      <c r="N49" s="39">
        <f t="shared" ca="1" si="20"/>
        <v>-1.5053473473401619E-5</v>
      </c>
      <c r="O49" s="39">
        <f t="shared" si="21"/>
        <v>-8</v>
      </c>
      <c r="P49" s="39">
        <f t="shared" si="16"/>
        <v>-0.64672484811944775</v>
      </c>
      <c r="Q49" s="39">
        <f t="shared" si="22"/>
        <v>74.87999999999991</v>
      </c>
      <c r="R49" s="41">
        <f t="shared" si="17"/>
        <v>1.5613664605238227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8"/>
        <v>0.76000000000000034</v>
      </c>
      <c r="L50" s="39">
        <f t="shared" si="15"/>
        <v>27.360000000000014</v>
      </c>
      <c r="M50" s="40">
        <f t="shared" si="19"/>
        <v>0</v>
      </c>
      <c r="N50" s="39">
        <f t="shared" ca="1" si="20"/>
        <v>-1.4064705525016101E-5</v>
      </c>
      <c r="O50" s="39">
        <f t="shared" si="21"/>
        <v>-8</v>
      </c>
      <c r="P50" s="39">
        <f t="shared" si="16"/>
        <v>-0.64672484811944775</v>
      </c>
      <c r="Q50" s="39">
        <f t="shared" si="22"/>
        <v>69.119999999999891</v>
      </c>
      <c r="R50" s="41">
        <f t="shared" si="17"/>
        <v>1.4412613481758358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8"/>
        <v>0.78000000000000036</v>
      </c>
      <c r="L51" s="39">
        <f t="shared" si="15"/>
        <v>28.080000000000013</v>
      </c>
      <c r="M51" s="40">
        <f t="shared" si="19"/>
        <v>0</v>
      </c>
      <c r="N51" s="39">
        <f t="shared" ca="1" si="20"/>
        <v>-1.3035331604734164E-5</v>
      </c>
      <c r="O51" s="39">
        <f t="shared" si="21"/>
        <v>-8</v>
      </c>
      <c r="P51" s="39">
        <f t="shared" si="16"/>
        <v>-0.64672484811944775</v>
      </c>
      <c r="Q51" s="39">
        <f t="shared" si="22"/>
        <v>63.3599999999999</v>
      </c>
      <c r="R51" s="41">
        <f t="shared" si="17"/>
        <v>1.3211562358278495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8"/>
        <v>0.80000000000000038</v>
      </c>
      <c r="L52" s="39">
        <f t="shared" si="15"/>
        <v>28.800000000000015</v>
      </c>
      <c r="M52" s="40">
        <f t="shared" si="19"/>
        <v>0</v>
      </c>
      <c r="N52" s="39">
        <f t="shared" ca="1" si="20"/>
        <v>-1.1968735543547163E-5</v>
      </c>
      <c r="O52" s="39">
        <f t="shared" si="21"/>
        <v>-8</v>
      </c>
      <c r="P52" s="39">
        <f t="shared" si="16"/>
        <v>-0.64672484811944775</v>
      </c>
      <c r="Q52" s="39">
        <f t="shared" si="22"/>
        <v>57.599999999999881</v>
      </c>
      <c r="R52" s="41">
        <f t="shared" si="17"/>
        <v>1.2010511234798626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8"/>
        <v>0.8200000000000004</v>
      </c>
      <c r="L53" s="39">
        <f t="shared" si="15"/>
        <v>29.520000000000014</v>
      </c>
      <c r="M53" s="40">
        <f t="shared" si="19"/>
        <v>0</v>
      </c>
      <c r="N53" s="39">
        <f t="shared" ca="1" si="20"/>
        <v>-1.0868301172446484E-5</v>
      </c>
      <c r="O53" s="39">
        <f t="shared" si="21"/>
        <v>-8</v>
      </c>
      <c r="P53" s="39">
        <f t="shared" si="16"/>
        <v>-0.64672484811944775</v>
      </c>
      <c r="Q53" s="39">
        <f t="shared" si="22"/>
        <v>51.83999999999989</v>
      </c>
      <c r="R53" s="41">
        <f t="shared" si="17"/>
        <v>1.0809460111318763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8"/>
        <v>0.84000000000000041</v>
      </c>
      <c r="L54" s="39">
        <f t="shared" si="15"/>
        <v>30.240000000000016</v>
      </c>
      <c r="M54" s="40">
        <f t="shared" si="19"/>
        <v>0</v>
      </c>
      <c r="N54" s="39">
        <f t="shared" ca="1" si="20"/>
        <v>-9.7374123224234425E-6</v>
      </c>
      <c r="O54" s="39">
        <f t="shared" si="21"/>
        <v>-8</v>
      </c>
      <c r="P54" s="39">
        <f t="shared" si="16"/>
        <v>-0.64672484811944775</v>
      </c>
      <c r="Q54" s="39">
        <f t="shared" si="22"/>
        <v>46.07999999999987</v>
      </c>
      <c r="R54" s="41">
        <f t="shared" si="17"/>
        <v>0.96084089878388934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8"/>
        <v>0.86000000000000043</v>
      </c>
      <c r="L55" s="39">
        <f t="shared" si="15"/>
        <v>30.960000000000015</v>
      </c>
      <c r="M55" s="40">
        <f t="shared" si="19"/>
        <v>0</v>
      </c>
      <c r="N55" s="39">
        <f t="shared" ca="1" si="20"/>
        <v>-8.5794528244694906E-6</v>
      </c>
      <c r="O55" s="39">
        <f t="shared" si="21"/>
        <v>-8</v>
      </c>
      <c r="P55" s="39">
        <f t="shared" si="16"/>
        <v>-0.64672484811944775</v>
      </c>
      <c r="Q55" s="39">
        <f t="shared" si="22"/>
        <v>40.319999999999879</v>
      </c>
      <c r="R55" s="41">
        <f t="shared" si="17"/>
        <v>0.84073578643590308</v>
      </c>
    </row>
    <row r="56" spans="1:18">
      <c r="A56" s="45"/>
      <c r="B56" s="45"/>
      <c r="C56" s="45"/>
      <c r="D56" s="129" t="s">
        <v>326</v>
      </c>
      <c r="E56" s="130">
        <f ca="1">((-(a^2)/2 + a^3/(3*L))*Ra + ((a - L)^3*Rb)/(3*L))/(E*Ix)</f>
        <v>-2.1758172526809149E-6</v>
      </c>
      <c r="F56" s="45"/>
      <c r="G56" s="45"/>
      <c r="H56" s="45"/>
      <c r="I56" s="45"/>
      <c r="J56" s="87"/>
      <c r="K56" s="29">
        <f t="shared" si="18"/>
        <v>0.88000000000000045</v>
      </c>
      <c r="L56" s="39">
        <f t="shared" si="15"/>
        <v>31.680000000000017</v>
      </c>
      <c r="M56" s="40">
        <f t="shared" si="19"/>
        <v>0</v>
      </c>
      <c r="N56" s="39">
        <f t="shared" ca="1" si="20"/>
        <v>-7.3978065095759446E-6</v>
      </c>
      <c r="O56" s="39">
        <f t="shared" si="21"/>
        <v>-8</v>
      </c>
      <c r="P56" s="39">
        <f t="shared" si="16"/>
        <v>-0.64672484811944775</v>
      </c>
      <c r="Q56" s="39">
        <f t="shared" si="22"/>
        <v>34.55999999999986</v>
      </c>
      <c r="R56" s="41">
        <f t="shared" si="17"/>
        <v>0.72063067408791615</v>
      </c>
    </row>
    <row r="57" spans="1:18">
      <c r="A57" s="45"/>
      <c r="B57" s="45"/>
      <c r="C57" s="45"/>
      <c r="D57" s="129" t="s">
        <v>327</v>
      </c>
      <c r="E57" s="130">
        <f>0</f>
        <v>0</v>
      </c>
      <c r="F57" s="45"/>
      <c r="G57" s="45"/>
      <c r="H57" s="45"/>
      <c r="I57" s="45"/>
      <c r="J57" s="87"/>
      <c r="K57" s="29">
        <f t="shared" si="18"/>
        <v>0.90000000000000047</v>
      </c>
      <c r="L57" s="39">
        <f t="shared" si="15"/>
        <v>32.40000000000002</v>
      </c>
      <c r="M57" s="40">
        <f t="shared" si="19"/>
        <v>0</v>
      </c>
      <c r="N57" s="39">
        <f t="shared" ca="1" si="20"/>
        <v>-6.1958572087341345E-6</v>
      </c>
      <c r="O57" s="39">
        <f t="shared" si="21"/>
        <v>-8</v>
      </c>
      <c r="P57" s="39">
        <f t="shared" si="16"/>
        <v>-0.64672484811944775</v>
      </c>
      <c r="Q57" s="39">
        <f t="shared" si="22"/>
        <v>28.799999999999841</v>
      </c>
      <c r="R57" s="41">
        <f t="shared" si="17"/>
        <v>0.60052556173992921</v>
      </c>
    </row>
    <row r="58" spans="1:18">
      <c r="A58" s="45"/>
      <c r="B58" s="45"/>
      <c r="C58" s="45"/>
      <c r="D58" s="129" t="s">
        <v>328</v>
      </c>
      <c r="E58" s="130">
        <f ca="1">(2*a^3*Ra + 2*a^3*Rb - 3*a^2*L*Rb - 2*L^3*Rb)/(6*(E*Ix)*L)</f>
        <v>-4.1340527800937388E-6</v>
      </c>
      <c r="F58" s="45"/>
      <c r="G58" s="45"/>
      <c r="H58" s="45"/>
      <c r="I58" s="45"/>
      <c r="J58" s="87"/>
      <c r="K58" s="29">
        <f t="shared" si="18"/>
        <v>0.92000000000000048</v>
      </c>
      <c r="L58" s="39">
        <f t="shared" si="15"/>
        <v>33.120000000000019</v>
      </c>
      <c r="M58" s="40">
        <f t="shared" si="19"/>
        <v>0</v>
      </c>
      <c r="N58" s="39">
        <f t="shared" ca="1" si="20"/>
        <v>-4.9769887529355257E-6</v>
      </c>
      <c r="O58" s="39">
        <f t="shared" si="21"/>
        <v>-8</v>
      </c>
      <c r="P58" s="39">
        <f t="shared" si="16"/>
        <v>-0.64672484811944775</v>
      </c>
      <c r="Q58" s="39">
        <f t="shared" si="22"/>
        <v>23.03999999999985</v>
      </c>
      <c r="R58" s="41">
        <f t="shared" si="17"/>
        <v>0.48042044939194289</v>
      </c>
    </row>
    <row r="59" spans="1:18" ht="15">
      <c r="A59" s="45"/>
      <c r="B59" s="45"/>
      <c r="C59" s="131"/>
      <c r="D59" s="129" t="s">
        <v>329</v>
      </c>
      <c r="E59" s="130">
        <f ca="1">(a^2*(-2*a*Ra - 2*a*Rb + 3*L*Rb))/(6*(E*Ix))</f>
        <v>7.832942109651294E-6</v>
      </c>
      <c r="F59" s="45"/>
      <c r="G59" s="45"/>
      <c r="H59" s="45"/>
      <c r="I59" s="45"/>
      <c r="J59" s="87"/>
      <c r="K59" s="29">
        <f t="shared" si="18"/>
        <v>0.9400000000000005</v>
      </c>
      <c r="L59" s="39">
        <f t="shared" si="15"/>
        <v>33.840000000000018</v>
      </c>
      <c r="M59" s="40">
        <f t="shared" si="19"/>
        <v>0</v>
      </c>
      <c r="N59" s="39">
        <f t="shared" ca="1" si="20"/>
        <v>-3.7445849731714345E-6</v>
      </c>
      <c r="O59" s="39">
        <f t="shared" si="21"/>
        <v>-8</v>
      </c>
      <c r="P59" s="39">
        <f t="shared" si="16"/>
        <v>-0.64672484811944775</v>
      </c>
      <c r="Q59" s="39">
        <f t="shared" si="22"/>
        <v>17.279999999999859</v>
      </c>
      <c r="R59" s="41">
        <f t="shared" si="17"/>
        <v>0.36031533704395657</v>
      </c>
    </row>
    <row r="60" spans="1:18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29">
        <f t="shared" si="18"/>
        <v>0.96000000000000052</v>
      </c>
      <c r="L60" s="39">
        <f t="shared" si="15"/>
        <v>34.560000000000016</v>
      </c>
      <c r="M60" s="40">
        <f t="shared" si="19"/>
        <v>0</v>
      </c>
      <c r="N60" s="39">
        <f t="shared" ca="1" si="20"/>
        <v>-2.5020297004332316E-6</v>
      </c>
      <c r="O60" s="39">
        <f t="shared" si="21"/>
        <v>-8</v>
      </c>
      <c r="P60" s="39">
        <f t="shared" si="16"/>
        <v>-0.64672484811944775</v>
      </c>
      <c r="Q60" s="39">
        <f t="shared" si="22"/>
        <v>11.519999999999868</v>
      </c>
      <c r="R60" s="41">
        <f t="shared" si="17"/>
        <v>0.24021022469597025</v>
      </c>
    </row>
    <row r="61" spans="1:18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29">
        <f t="shared" si="18"/>
        <v>0.98000000000000054</v>
      </c>
      <c r="L61" s="39">
        <f t="shared" si="15"/>
        <v>35.280000000000022</v>
      </c>
      <c r="M61" s="40">
        <f t="shared" si="19"/>
        <v>0</v>
      </c>
      <c r="N61" s="39">
        <f ca="1">IF(AND(0 &lt;= x, x &lt;= a), a_C2 + a_C1*x + (Ra*x^3)/(6*(E*Ix)), a_C2p + a_C1p*x + (Rb*((L*x^2)/2 - x^3/6))/(E*Ix))</f>
        <v>-1.2527067657123146E-6</v>
      </c>
      <c r="O61" s="39">
        <f>IF(x&lt;a,Ra,-Rb)</f>
        <v>-8</v>
      </c>
      <c r="P61" s="39">
        <f t="shared" si="16"/>
        <v>-0.64672484811944775</v>
      </c>
      <c r="Q61" s="39">
        <f>IF(x&lt;a,Ra*x,Rb*(L - x))</f>
        <v>5.7599999999998204</v>
      </c>
      <c r="R61" s="41">
        <f t="shared" si="17"/>
        <v>0.12010511234798277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8"/>
        <v>1.0000000000000004</v>
      </c>
      <c r="L62" s="42">
        <f t="shared" si="15"/>
        <v>36.000000000000014</v>
      </c>
      <c r="M62" s="43">
        <f>IF(AND(L61 &lt; a, a &lt;= x), (  (a - L61)/(x - L61)*P/((x-L61)) ), 0)</f>
        <v>0</v>
      </c>
      <c r="N62" s="42">
        <f ca="1">IF(AND(0 &lt;= x, x &lt;= a), a_C2 + a_C1*x + (Ra*x^3)/(6*(E*Ix)), a_C2p + a_C1p*x + (Rb*((L*x^2)/2 - x^3/6))/(E*Ix))</f>
        <v>-2.7105054312137611E-20</v>
      </c>
      <c r="O62" s="42">
        <f>IF(x&lt;a,Ra,-Rb)</f>
        <v>-8</v>
      </c>
      <c r="P62" s="42">
        <f t="shared" si="16"/>
        <v>-0.64672484811944775</v>
      </c>
      <c r="Q62" s="42">
        <f>IF(x&lt;a,Ra*x,Rb*(L - x))</f>
        <v>-1.1368683772161603E-13</v>
      </c>
      <c r="R62" s="44">
        <f t="shared" si="17"/>
        <v>-2.370550419625348E-15</v>
      </c>
    </row>
    <row r="63" spans="1:18" ht="13.5" thickTop="1">
      <c r="J63" s="320"/>
    </row>
    <row r="64" spans="1:18">
      <c r="D64" s="321"/>
      <c r="E64" s="322"/>
      <c r="J64" s="320"/>
    </row>
    <row r="65" spans="4:10">
      <c r="D65" s="323"/>
      <c r="E65" s="324"/>
      <c r="J65" s="320"/>
    </row>
    <row r="66" spans="4:10">
      <c r="D66" s="325"/>
      <c r="E66" s="322"/>
      <c r="J66" s="320"/>
    </row>
    <row r="67" spans="4:10">
      <c r="D67" s="325"/>
      <c r="E67" s="322"/>
      <c r="J67" s="320"/>
    </row>
    <row r="68" spans="4:10">
      <c r="J68" s="320"/>
    </row>
    <row r="69" spans="4:10">
      <c r="J69" s="320"/>
    </row>
    <row r="70" spans="4:10">
      <c r="J70" s="320"/>
    </row>
    <row r="71" spans="4:10">
      <c r="J71" s="320"/>
    </row>
    <row r="72" spans="4:10">
      <c r="J72" s="320"/>
    </row>
    <row r="73" spans="4:10">
      <c r="J73" s="320"/>
    </row>
    <row r="74" spans="4:10">
      <c r="J74" s="320"/>
    </row>
    <row r="75" spans="4:10">
      <c r="J75" s="320"/>
    </row>
    <row r="76" spans="4:10">
      <c r="J76" s="320"/>
    </row>
    <row r="77" spans="4:10">
      <c r="J77" s="320"/>
    </row>
    <row r="78" spans="4:10">
      <c r="J78" s="320"/>
    </row>
    <row r="79" spans="4:10">
      <c r="J79" s="320"/>
    </row>
    <row r="80" spans="4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6" orientation="landscape" horizontalDpi="4294967292" verticalDpi="4294967292"/>
  <headerFooter alignWithMargins="0"/>
  <drawing r:id="rId1"/>
  <legacyDrawing r:id="rId2"/>
  <oleObjects>
    <oleObject progId="MSPhotoEd.3" shapeId="10098" r:id="rId3"/>
    <oleObject progId="MSPhotoEd.3" shapeId="10099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syncHorizontal="1" syncRef="A4" codeName="Sheet8">
    <pageSetUpPr fitToPage="1"/>
  </sheetPr>
  <dimension ref="A1:S96"/>
  <sheetViews>
    <sheetView showGridLines="0" defaultGridColor="0" topLeftCell="A4" colorId="8" workbookViewId="0">
      <selection activeCell="B10" sqref="B10"/>
    </sheetView>
  </sheetViews>
  <sheetFormatPr defaultColWidth="10.7109375" defaultRowHeight="12.75"/>
  <cols>
    <col min="1" max="1" width="6.140625" style="13" customWidth="1"/>
    <col min="2" max="5" width="8.7109375" style="13" customWidth="1"/>
    <col min="6" max="6" width="9.7109375" style="13" customWidth="1"/>
    <col min="7" max="7" width="7.42578125" style="13" customWidth="1"/>
    <col min="8" max="8" width="1.42578125" style="13" customWidth="1"/>
    <col min="9" max="9" width="8" style="13" customWidth="1"/>
    <col min="10" max="10" width="1.85546875" style="13" customWidth="1"/>
    <col min="11" max="11" width="8.7109375" style="13" customWidth="1"/>
    <col min="12" max="12" width="8.28515625" style="13" customWidth="1"/>
    <col min="13" max="16384" width="10.7109375" style="13"/>
  </cols>
  <sheetData>
    <row r="1" spans="1:19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  <c r="S2" s="75"/>
    </row>
    <row r="3" spans="1:19" ht="13.5" thickBot="1">
      <c r="A3" s="98"/>
      <c r="B3" s="101"/>
      <c r="C3" s="102" t="s">
        <v>290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7.25" thickTop="1" thickBot="1">
      <c r="A4" s="98"/>
      <c r="B4" s="57"/>
      <c r="C4" s="104" t="s">
        <v>291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291</v>
      </c>
      <c r="M4" s="49"/>
      <c r="N4" s="45"/>
      <c r="O4" s="45"/>
      <c r="P4" s="45"/>
      <c r="Q4" s="45"/>
      <c r="R4" s="45"/>
      <c r="S4" s="45"/>
    </row>
    <row r="5" spans="1:19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294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  <c r="S5" s="55" t="s">
        <v>299</v>
      </c>
    </row>
    <row r="6" spans="1:19" ht="17.25" thickTop="1" thickBot="1">
      <c r="A6" s="107"/>
      <c r="B6" s="108" t="s">
        <v>252</v>
      </c>
      <c r="C6" s="96"/>
      <c r="D6" s="96"/>
      <c r="E6" s="96"/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 t="s">
        <v>302</v>
      </c>
      <c r="N6" s="63"/>
      <c r="O6" s="61" t="s">
        <v>71</v>
      </c>
      <c r="P6" s="61" t="s">
        <v>303</v>
      </c>
      <c r="Q6" s="61" t="s">
        <v>252</v>
      </c>
      <c r="R6" s="64" t="s">
        <v>303</v>
      </c>
      <c r="S6" s="62" t="s">
        <v>252</v>
      </c>
    </row>
    <row r="7" spans="1:19" ht="14.25" thickTop="1" thickBot="1">
      <c r="A7" s="107"/>
      <c r="B7" s="108" t="s">
        <v>260</v>
      </c>
      <c r="C7" s="96"/>
      <c r="D7" s="96" t="s">
        <v>252</v>
      </c>
      <c r="E7" s="96"/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">
        <v>305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  <c r="S7" s="70" t="str">
        <f>SUBSTITUTE(SUBSTITUTE("M/D", "M", D9), "D", DistanceUnits)</f>
        <v>in-lb/in</v>
      </c>
    </row>
    <row r="8" spans="1:19" ht="17.25" thickTop="1" thickBot="1">
      <c r="A8" s="110"/>
      <c r="B8" s="111" t="s">
        <v>306</v>
      </c>
      <c r="C8" s="112"/>
      <c r="D8" s="112" t="s">
        <v>307</v>
      </c>
      <c r="E8" s="113"/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0</v>
      </c>
      <c r="N8" s="27">
        <f t="shared" si="0"/>
        <v>-4.2340185279509052E-5</v>
      </c>
      <c r="O8" s="27">
        <f t="shared" si="0"/>
        <v>-100</v>
      </c>
      <c r="P8" s="27">
        <f t="shared" si="0"/>
        <v>-8.0840606014930962</v>
      </c>
      <c r="Q8" s="27">
        <f t="shared" si="0"/>
        <v>-1728.0000000000005</v>
      </c>
      <c r="R8" s="28">
        <f t="shared" si="0"/>
        <v>-36.031533704395962</v>
      </c>
      <c r="S8" s="26">
        <f>MIN(S12:S62)</f>
        <v>0</v>
      </c>
    </row>
    <row r="9" spans="1:19" ht="14.25" thickTop="1" thickBot="1">
      <c r="A9" s="110"/>
      <c r="B9" s="115" t="str">
        <f>[0]!DistanceUnits</f>
        <v>in</v>
      </c>
      <c r="C9" s="116"/>
      <c r="D9" s="116" t="str">
        <f>IF(ActiveUnits="SI", SUBSTITUTE(SUBSTITUTE("F-D", "F", ForceUnits), "D", DistanceUnits), SUBSTITUTE(SUBSTITUTE("D-F", "F", ForceUnits), "D", DistanceUnits))</f>
        <v>in-lb</v>
      </c>
      <c r="E9" s="117"/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0</v>
      </c>
      <c r="N9" s="32">
        <f t="shared" si="1"/>
        <v>4.2340185279509106E-5</v>
      </c>
      <c r="O9" s="32">
        <f t="shared" si="1"/>
        <v>-100</v>
      </c>
      <c r="P9" s="32">
        <f t="shared" si="1"/>
        <v>-8.0840606014930962</v>
      </c>
      <c r="Q9" s="32">
        <f t="shared" si="1"/>
        <v>1799.9999999999995</v>
      </c>
      <c r="R9" s="33">
        <f t="shared" si="1"/>
        <v>37.532847608745776</v>
      </c>
      <c r="S9" s="31">
        <f>MAX(S12:S62)</f>
        <v>5000.00000000002</v>
      </c>
    </row>
    <row r="10" spans="1:19" ht="14.25" thickTop="1" thickBot="1">
      <c r="A10" s="110"/>
      <c r="B10" s="5">
        <v>18</v>
      </c>
      <c r="C10" s="133"/>
      <c r="D10" s="6">
        <v>3600</v>
      </c>
      <c r="E10" s="134"/>
      <c r="F10" s="8">
        <v>36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0</v>
      </c>
      <c r="N10" s="32">
        <f t="shared" si="2"/>
        <v>-4.2340185279509052E-5</v>
      </c>
      <c r="O10" s="32">
        <f t="shared" si="2"/>
        <v>-100</v>
      </c>
      <c r="P10" s="32">
        <f t="shared" si="2"/>
        <v>-8.0840606014930962</v>
      </c>
      <c r="Q10" s="32">
        <f t="shared" si="2"/>
        <v>1799.9999999999995</v>
      </c>
      <c r="R10" s="33">
        <f t="shared" si="2"/>
        <v>37.532847608745776</v>
      </c>
      <c r="S10" s="31">
        <f>IF(S9&gt;ABS(S8),S9,S8)</f>
        <v>5000.00000000002</v>
      </c>
    </row>
    <row r="11" spans="1:19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0</v>
      </c>
      <c r="N11" s="37">
        <f t="shared" ca="1" si="3"/>
        <v>25.920000000000012</v>
      </c>
      <c r="O11" s="37">
        <f t="shared" ca="1" si="3"/>
        <v>0</v>
      </c>
      <c r="P11" s="37">
        <f t="shared" ca="1" si="3"/>
        <v>0</v>
      </c>
      <c r="Q11" s="37">
        <f t="shared" ca="1" si="3"/>
        <v>18.000000000000004</v>
      </c>
      <c r="R11" s="38">
        <f t="shared" ca="1" si="3"/>
        <v>18.000000000000004</v>
      </c>
      <c r="S11" s="36">
        <f ca="1">OFFSET($L$11,MATCH(S10,S12:S62,0),0)</f>
        <v>18.000000000000004</v>
      </c>
    </row>
    <row r="12" spans="1:19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v>0</v>
      </c>
      <c r="N12" s="39">
        <f>IF(AND(0 &lt;= x, x &lt;= a), a_C2 + a_C1*x - (M*x^3)/(6*(E*Ix)*L),     a_C2p + a_C1p*x + (M*(x^2/2 - x^3/(6*L)))/(E*Ix))</f>
        <v>0</v>
      </c>
      <c r="O12" s="39">
        <f>-(M/L)</f>
        <v>-100</v>
      </c>
      <c r="P12" s="39">
        <f t="shared" ref="P12:P43" si="5">V/A_CS</f>
        <v>-8.0840606014930962</v>
      </c>
      <c r="Q12" s="39">
        <f>IF(x &lt; a, -((M*x)/L), M - (M*x)/L)</f>
        <v>0</v>
      </c>
      <c r="R12" s="41">
        <f t="shared" ref="R12:R43" si="6">Ybar*Q12/Ix</f>
        <v>0</v>
      </c>
      <c r="S12" s="40">
        <f>IF(AND(x &lt;= a, a &lt; L13), ( (L13-a)/(L13-x) * M/((L13-x)) ),  0)</f>
        <v>0</v>
      </c>
    </row>
    <row r="13" spans="1:19">
      <c r="A13" s="45"/>
      <c r="B13" s="121"/>
      <c r="C13" s="122"/>
      <c r="D13" s="123" t="s">
        <v>252</v>
      </c>
      <c r="E13" s="122"/>
      <c r="F13" s="121"/>
      <c r="G13" s="82">
        <f>A_CS*L</f>
        <v>445.32075864635317</v>
      </c>
      <c r="H13" s="45"/>
      <c r="I13" s="83">
        <f>G13*[0]!Density</f>
        <v>33.844377657122841</v>
      </c>
      <c r="J13" s="45"/>
      <c r="K13" s="29">
        <f t="shared" ref="K13:K44" si="7">K12+0.02</f>
        <v>0.02</v>
      </c>
      <c r="L13" s="39">
        <f t="shared" si="4"/>
        <v>0.72</v>
      </c>
      <c r="M13" s="40">
        <v>0</v>
      </c>
      <c r="N13" s="39">
        <f t="shared" ref="N13:N28" si="8">IF(AND(0 &lt;= x, x &lt;= a), a_C2 + a_C1*x - (M*x^3)/(6*(E*Ix)*L),     a_C2p + a_C1p*x + (M*(x^2/2 - x^3/(6*L)))/(E*Ix))</f>
        <v>4.3989802887801667E-6</v>
      </c>
      <c r="O13" s="39">
        <f t="shared" ref="O13:O28" si="9">-(M/L)</f>
        <v>-100</v>
      </c>
      <c r="P13" s="39">
        <f t="shared" si="5"/>
        <v>-8.0840606014930962</v>
      </c>
      <c r="Q13" s="39">
        <f t="shared" ref="Q13:Q28" si="10">IF(x &lt; a, -((M*x)/L), M - (M*x)/L)</f>
        <v>-72</v>
      </c>
      <c r="R13" s="41">
        <f t="shared" si="6"/>
        <v>-1.5013139043498314</v>
      </c>
      <c r="S13" s="40">
        <f t="shared" ref="S13:S44" si="11">IF(AND(x &lt;= a, a &lt; L14), ( (L14-a)/(L14-x) * M/((x-L12)/2+(L14-x)/2) ), IF(AND(L12 &lt; a, a &lt;= x), (  (a - L12)/(x - L12)*M/((x-L12)/2+(L14-x)/2) ), 0))</f>
        <v>0</v>
      </c>
    </row>
    <row r="14" spans="1:19" ht="13.5" thickBot="1">
      <c r="A14" s="45"/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7"/>
        <v>0.04</v>
      </c>
      <c r="L14" s="39">
        <f t="shared" si="4"/>
        <v>1.44</v>
      </c>
      <c r="M14" s="40">
        <v>0</v>
      </c>
      <c r="N14" s="39">
        <f t="shared" si="8"/>
        <v>8.7556626901682164E-6</v>
      </c>
      <c r="O14" s="39">
        <f t="shared" si="9"/>
        <v>-100</v>
      </c>
      <c r="P14" s="39">
        <f t="shared" si="5"/>
        <v>-8.0840606014930962</v>
      </c>
      <c r="Q14" s="39">
        <f t="shared" si="10"/>
        <v>-144</v>
      </c>
      <c r="R14" s="41">
        <f t="shared" si="6"/>
        <v>-3.0026278086996627</v>
      </c>
      <c r="S14" s="40">
        <f t="shared" si="11"/>
        <v>0</v>
      </c>
    </row>
    <row r="15" spans="1:19" ht="14.25" thickTop="1" thickBot="1">
      <c r="A15" s="45"/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7"/>
        <v>0.06</v>
      </c>
      <c r="L15" s="39">
        <f t="shared" si="4"/>
        <v>2.16</v>
      </c>
      <c r="M15" s="40">
        <v>0</v>
      </c>
      <c r="N15" s="39">
        <f t="shared" si="8"/>
        <v>1.3027749316772035E-5</v>
      </c>
      <c r="O15" s="39">
        <f t="shared" si="9"/>
        <v>-100</v>
      </c>
      <c r="P15" s="39">
        <f t="shared" si="5"/>
        <v>-8.0840606014930962</v>
      </c>
      <c r="Q15" s="39">
        <f t="shared" si="10"/>
        <v>-216.00000000000003</v>
      </c>
      <c r="R15" s="41">
        <f t="shared" si="6"/>
        <v>-4.5039417130494943</v>
      </c>
      <c r="S15" s="40">
        <f t="shared" si="11"/>
        <v>0</v>
      </c>
    </row>
    <row r="16" spans="1:19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7"/>
        <v>0.08</v>
      </c>
      <c r="L16" s="39">
        <f t="shared" si="4"/>
        <v>2.88</v>
      </c>
      <c r="M16" s="40">
        <v>0</v>
      </c>
      <c r="N16" s="39">
        <f t="shared" si="8"/>
        <v>1.7172942281199496E-5</v>
      </c>
      <c r="O16" s="39">
        <f t="shared" si="9"/>
        <v>-100</v>
      </c>
      <c r="P16" s="39">
        <f t="shared" si="5"/>
        <v>-8.0840606014930962</v>
      </c>
      <c r="Q16" s="39">
        <f t="shared" si="10"/>
        <v>-288</v>
      </c>
      <c r="R16" s="41">
        <f t="shared" si="6"/>
        <v>-6.0052556173993255</v>
      </c>
      <c r="S16" s="40">
        <f t="shared" si="11"/>
        <v>0</v>
      </c>
    </row>
    <row r="17" spans="1:19">
      <c r="A17" s="107"/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7"/>
        <v>0.1</v>
      </c>
      <c r="L17" s="39">
        <f t="shared" si="4"/>
        <v>3.6</v>
      </c>
      <c r="M17" s="40">
        <v>0</v>
      </c>
      <c r="N17" s="39">
        <f t="shared" si="8"/>
        <v>2.1148943696058494E-5</v>
      </c>
      <c r="O17" s="39">
        <f t="shared" si="9"/>
        <v>-100</v>
      </c>
      <c r="P17" s="39">
        <f t="shared" si="5"/>
        <v>-8.0840606014930962</v>
      </c>
      <c r="Q17" s="39">
        <f t="shared" si="10"/>
        <v>-360</v>
      </c>
      <c r="R17" s="41">
        <f t="shared" si="6"/>
        <v>-7.5065695217491566</v>
      </c>
      <c r="S17" s="40">
        <f t="shared" si="11"/>
        <v>0</v>
      </c>
    </row>
    <row r="18" spans="1:19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7"/>
        <v>0.12000000000000001</v>
      </c>
      <c r="L18" s="39">
        <f t="shared" si="4"/>
        <v>4.32</v>
      </c>
      <c r="M18" s="40">
        <v>0</v>
      </c>
      <c r="N18" s="39">
        <f t="shared" si="8"/>
        <v>2.4913455673956908E-5</v>
      </c>
      <c r="O18" s="39">
        <f t="shared" si="9"/>
        <v>-100</v>
      </c>
      <c r="P18" s="39">
        <f t="shared" si="5"/>
        <v>-8.0840606014930962</v>
      </c>
      <c r="Q18" s="39">
        <f t="shared" si="10"/>
        <v>-432.00000000000006</v>
      </c>
      <c r="R18" s="41">
        <f t="shared" si="6"/>
        <v>-9.0078834260989886</v>
      </c>
      <c r="S18" s="40">
        <f t="shared" si="11"/>
        <v>0</v>
      </c>
    </row>
    <row r="19" spans="1:19" ht="13.5" thickBot="1">
      <c r="A19" s="45"/>
      <c r="B19" s="121"/>
      <c r="C19" s="122"/>
      <c r="D19" s="125"/>
      <c r="E19" s="126"/>
      <c r="F19" s="121"/>
      <c r="G19" s="45"/>
      <c r="H19" s="45"/>
      <c r="I19" s="85">
        <f>IF(ABS(R10)/[0]!Strength &lt; 1, ABS(R10)/[0]!Strength, "FAILED.")</f>
        <v>1.5638686503644072E-3</v>
      </c>
      <c r="J19" s="45"/>
      <c r="K19" s="29">
        <f t="shared" si="7"/>
        <v>0.14000000000000001</v>
      </c>
      <c r="L19" s="39">
        <f t="shared" si="4"/>
        <v>5.0400000000000009</v>
      </c>
      <c r="M19" s="40">
        <v>0</v>
      </c>
      <c r="N19" s="39">
        <f t="shared" si="8"/>
        <v>2.8424180327502623E-5</v>
      </c>
      <c r="O19" s="39">
        <f t="shared" si="9"/>
        <v>-100</v>
      </c>
      <c r="P19" s="39">
        <f t="shared" si="5"/>
        <v>-8.0840606014930962</v>
      </c>
      <c r="Q19" s="39">
        <f t="shared" si="10"/>
        <v>-504.00000000000011</v>
      </c>
      <c r="R19" s="41">
        <f t="shared" si="6"/>
        <v>-10.509197330448822</v>
      </c>
      <c r="S19" s="40">
        <f t="shared" si="11"/>
        <v>0</v>
      </c>
    </row>
    <row r="20" spans="1:19" ht="14.25" thickTop="1" thickBot="1">
      <c r="A20" s="45"/>
      <c r="B20" s="96" t="s">
        <v>316</v>
      </c>
      <c r="C20" s="121"/>
      <c r="D20" s="121"/>
      <c r="E20" s="121"/>
      <c r="F20" s="96" t="s">
        <v>317</v>
      </c>
      <c r="G20" s="45"/>
      <c r="H20" s="45"/>
      <c r="I20" s="45"/>
      <c r="J20" s="45"/>
      <c r="K20" s="29">
        <f t="shared" si="7"/>
        <v>0.16</v>
      </c>
      <c r="L20" s="39">
        <f t="shared" si="4"/>
        <v>5.76</v>
      </c>
      <c r="M20" s="40">
        <v>0</v>
      </c>
      <c r="N20" s="39">
        <f t="shared" si="8"/>
        <v>3.163881976930351E-5</v>
      </c>
      <c r="O20" s="39">
        <f t="shared" si="9"/>
        <v>-100</v>
      </c>
      <c r="P20" s="39">
        <f t="shared" si="5"/>
        <v>-8.0840606014930962</v>
      </c>
      <c r="Q20" s="39">
        <f t="shared" si="10"/>
        <v>-576</v>
      </c>
      <c r="R20" s="41">
        <f t="shared" si="6"/>
        <v>-12.010511234798651</v>
      </c>
      <c r="S20" s="40">
        <f t="shared" si="11"/>
        <v>0</v>
      </c>
    </row>
    <row r="21" spans="1:19" ht="13.5" thickTop="1">
      <c r="A21" s="45"/>
      <c r="B21" s="97">
        <f ca="1">IF(IsValidUser, -(M/L),"Time To Pay")</f>
        <v>-100</v>
      </c>
      <c r="C21" s="121"/>
      <c r="D21" s="121"/>
      <c r="E21" s="121"/>
      <c r="F21" s="97">
        <f>M/L</f>
        <v>100</v>
      </c>
      <c r="G21" s="45"/>
      <c r="H21" s="45"/>
      <c r="I21" s="80" t="s">
        <v>318</v>
      </c>
      <c r="J21" s="45"/>
      <c r="K21" s="29">
        <f t="shared" si="7"/>
        <v>0.18</v>
      </c>
      <c r="L21" s="39">
        <f t="shared" si="4"/>
        <v>6.4799999999999995</v>
      </c>
      <c r="M21" s="40">
        <v>0</v>
      </c>
      <c r="N21" s="39">
        <f t="shared" si="8"/>
        <v>3.4515076111967461E-5</v>
      </c>
      <c r="O21" s="39">
        <f t="shared" si="9"/>
        <v>-100</v>
      </c>
      <c r="P21" s="39">
        <f t="shared" si="5"/>
        <v>-8.0840606014930962</v>
      </c>
      <c r="Q21" s="39">
        <f t="shared" si="10"/>
        <v>-648</v>
      </c>
      <c r="R21" s="41">
        <f t="shared" si="6"/>
        <v>-13.511825139148483</v>
      </c>
      <c r="S21" s="40">
        <f t="shared" si="11"/>
        <v>0</v>
      </c>
    </row>
    <row r="22" spans="1:19">
      <c r="A22" s="75"/>
      <c r="B22" s="127" t="str">
        <f>ForceUnits</f>
        <v>lb</v>
      </c>
      <c r="C22" s="121"/>
      <c r="D22" s="121"/>
      <c r="E22" s="121"/>
      <c r="F22" s="127" t="str">
        <f>ForceUnits</f>
        <v>lb</v>
      </c>
      <c r="G22" s="45"/>
      <c r="H22" s="45"/>
      <c r="I22" s="82" t="s">
        <v>296</v>
      </c>
      <c r="J22" s="45"/>
      <c r="K22" s="29">
        <f t="shared" si="7"/>
        <v>0.19999999999999998</v>
      </c>
      <c r="L22" s="39">
        <f t="shared" si="4"/>
        <v>7.1999999999999993</v>
      </c>
      <c r="M22" s="40">
        <v>0</v>
      </c>
      <c r="N22" s="39">
        <f t="shared" si="8"/>
        <v>3.7010651468102357E-5</v>
      </c>
      <c r="O22" s="39">
        <f t="shared" si="9"/>
        <v>-100</v>
      </c>
      <c r="P22" s="39">
        <f t="shared" si="5"/>
        <v>-8.0840606014930962</v>
      </c>
      <c r="Q22" s="39">
        <f t="shared" si="10"/>
        <v>-719.99999999999989</v>
      </c>
      <c r="R22" s="41">
        <f t="shared" si="6"/>
        <v>-15.013139043498311</v>
      </c>
      <c r="S22" s="40">
        <f t="shared" si="11"/>
        <v>0</v>
      </c>
    </row>
    <row r="23" spans="1:19">
      <c r="A23" s="45"/>
      <c r="B23" s="121"/>
      <c r="C23" s="121"/>
      <c r="D23" s="121"/>
      <c r="E23" s="121"/>
      <c r="F23" s="121"/>
      <c r="G23" s="45"/>
      <c r="H23" s="45"/>
      <c r="I23" s="86" t="s">
        <v>303</v>
      </c>
      <c r="J23" s="45"/>
      <c r="K23" s="29">
        <f t="shared" si="7"/>
        <v>0.21999999999999997</v>
      </c>
      <c r="L23" s="39">
        <f t="shared" si="4"/>
        <v>7.919999999999999</v>
      </c>
      <c r="M23" s="40">
        <v>0</v>
      </c>
      <c r="N23" s="39">
        <f t="shared" si="8"/>
        <v>3.9083247950316093E-5</v>
      </c>
      <c r="O23" s="39">
        <f t="shared" si="9"/>
        <v>-100</v>
      </c>
      <c r="P23" s="39">
        <f t="shared" si="5"/>
        <v>-8.0840606014930962</v>
      </c>
      <c r="Q23" s="39">
        <f t="shared" si="10"/>
        <v>-791.99999999999989</v>
      </c>
      <c r="R23" s="41">
        <f t="shared" si="6"/>
        <v>-16.514452947848142</v>
      </c>
      <c r="S23" s="40">
        <f t="shared" si="11"/>
        <v>0</v>
      </c>
    </row>
    <row r="24" spans="1:19" ht="13.5" thickBot="1">
      <c r="A24" s="45"/>
      <c r="B24" s="121"/>
      <c r="C24" s="121"/>
      <c r="D24" s="121"/>
      <c r="E24" s="121"/>
      <c r="F24" s="121"/>
      <c r="G24" s="45"/>
      <c r="H24" s="45"/>
      <c r="I24" s="85">
        <f>IF(ABS(P10)/[0]!Strength &lt; 1, ABS(P10)/[0]!Strength, "FAILED.")</f>
        <v>3.3683585839554568E-4</v>
      </c>
      <c r="J24" s="45"/>
      <c r="K24" s="29">
        <f t="shared" si="7"/>
        <v>0.23999999999999996</v>
      </c>
      <c r="L24" s="39">
        <f t="shared" si="4"/>
        <v>8.6399999999999988</v>
      </c>
      <c r="M24" s="40">
        <v>0</v>
      </c>
      <c r="N24" s="39">
        <f t="shared" si="8"/>
        <v>4.0690567671216544E-5</v>
      </c>
      <c r="O24" s="39">
        <f t="shared" si="9"/>
        <v>-100</v>
      </c>
      <c r="P24" s="39">
        <f t="shared" si="5"/>
        <v>-8.0840606014930962</v>
      </c>
      <c r="Q24" s="39">
        <f t="shared" si="10"/>
        <v>-863.99999999999989</v>
      </c>
      <c r="R24" s="41">
        <f t="shared" si="6"/>
        <v>-18.015766852197974</v>
      </c>
      <c r="S24" s="40">
        <f t="shared" si="11"/>
        <v>0</v>
      </c>
    </row>
    <row r="25" spans="1:19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29">
        <f t="shared" si="7"/>
        <v>0.25999999999999995</v>
      </c>
      <c r="L25" s="39">
        <f t="shared" si="4"/>
        <v>9.3599999999999977</v>
      </c>
      <c r="M25" s="40">
        <v>0</v>
      </c>
      <c r="N25" s="39">
        <f t="shared" si="8"/>
        <v>4.1790312743411583E-5</v>
      </c>
      <c r="O25" s="39">
        <f t="shared" si="9"/>
        <v>-100</v>
      </c>
      <c r="P25" s="39">
        <f t="shared" si="5"/>
        <v>-8.0840606014930962</v>
      </c>
      <c r="Q25" s="39">
        <f t="shared" si="10"/>
        <v>-935.99999999999977</v>
      </c>
      <c r="R25" s="41">
        <f t="shared" si="6"/>
        <v>-19.517080756547802</v>
      </c>
      <c r="S25" s="40">
        <f t="shared" si="11"/>
        <v>0</v>
      </c>
    </row>
    <row r="26" spans="1:19" ht="13.5" thickTop="1">
      <c r="A26" s="80" t="s">
        <v>320</v>
      </c>
      <c r="B26" s="121"/>
      <c r="C26" s="121"/>
      <c r="D26" s="121"/>
      <c r="E26" s="121"/>
      <c r="F26" s="121"/>
      <c r="G26" s="88" t="s">
        <v>320</v>
      </c>
      <c r="H26" s="45"/>
      <c r="I26" s="89" t="s">
        <v>321</v>
      </c>
      <c r="J26" s="87"/>
      <c r="K26" s="29">
        <f t="shared" si="7"/>
        <v>0.27999999999999997</v>
      </c>
      <c r="L26" s="39">
        <f t="shared" si="4"/>
        <v>10.079999999999998</v>
      </c>
      <c r="M26" s="40">
        <v>0</v>
      </c>
      <c r="N26" s="39">
        <f t="shared" si="8"/>
        <v>4.2340185279509106E-5</v>
      </c>
      <c r="O26" s="39">
        <f t="shared" si="9"/>
        <v>-100</v>
      </c>
      <c r="P26" s="39">
        <f t="shared" si="5"/>
        <v>-8.0840606014930962</v>
      </c>
      <c r="Q26" s="39">
        <f t="shared" si="10"/>
        <v>-1007.9999999999998</v>
      </c>
      <c r="R26" s="41">
        <f t="shared" si="6"/>
        <v>-21.018394660897634</v>
      </c>
      <c r="S26" s="40">
        <f t="shared" si="11"/>
        <v>0</v>
      </c>
    </row>
    <row r="27" spans="1:19">
      <c r="A27" s="93" t="s">
        <v>322</v>
      </c>
      <c r="B27" s="121"/>
      <c r="C27" s="121"/>
      <c r="D27" s="121"/>
      <c r="E27" s="121"/>
      <c r="F27" s="121"/>
      <c r="G27" s="90" t="s">
        <v>322</v>
      </c>
      <c r="H27" s="45"/>
      <c r="I27" s="91" t="s">
        <v>295</v>
      </c>
      <c r="J27" s="87"/>
      <c r="K27" s="29">
        <f t="shared" si="7"/>
        <v>0.3</v>
      </c>
      <c r="L27" s="39">
        <f t="shared" si="4"/>
        <v>10.799999999999999</v>
      </c>
      <c r="M27" s="40">
        <v>0</v>
      </c>
      <c r="N27" s="39">
        <f t="shared" si="8"/>
        <v>4.2297887392117001E-5</v>
      </c>
      <c r="O27" s="39">
        <f t="shared" si="9"/>
        <v>-100</v>
      </c>
      <c r="P27" s="39">
        <f t="shared" si="5"/>
        <v>-8.0840606014930962</v>
      </c>
      <c r="Q27" s="39">
        <f t="shared" si="10"/>
        <v>-1079.9999999999998</v>
      </c>
      <c r="R27" s="41">
        <f t="shared" si="6"/>
        <v>-22.519708565247466</v>
      </c>
      <c r="S27" s="40">
        <f t="shared" si="11"/>
        <v>0</v>
      </c>
    </row>
    <row r="28" spans="1:19">
      <c r="A28" s="82">
        <f>DEGREES(a_C1)</f>
        <v>3.5062072191665504E-4</v>
      </c>
      <c r="B28" s="121"/>
      <c r="C28" s="121"/>
      <c r="D28" s="121"/>
      <c r="E28" s="121"/>
      <c r="F28" s="121"/>
      <c r="G28" s="82">
        <f>DEGREES(a_C1p + (L*M)/(2*(E*Ix)))</f>
        <v>3.5062072191665504E-4</v>
      </c>
      <c r="H28" s="45"/>
      <c r="I28" s="91">
        <f>N10</f>
        <v>-4.2340185279509052E-5</v>
      </c>
      <c r="J28" s="87"/>
      <c r="K28" s="29">
        <f t="shared" si="7"/>
        <v>0.32</v>
      </c>
      <c r="L28" s="39">
        <f t="shared" si="4"/>
        <v>11.52</v>
      </c>
      <c r="M28" s="40">
        <v>0</v>
      </c>
      <c r="N28" s="39">
        <f t="shared" si="8"/>
        <v>4.1621121193843122E-5</v>
      </c>
      <c r="O28" s="39">
        <f t="shared" si="9"/>
        <v>-100</v>
      </c>
      <c r="P28" s="39">
        <f t="shared" si="5"/>
        <v>-8.0840606014930962</v>
      </c>
      <c r="Q28" s="39">
        <f t="shared" si="10"/>
        <v>-1152</v>
      </c>
      <c r="R28" s="41">
        <f t="shared" si="6"/>
        <v>-24.021022469597302</v>
      </c>
      <c r="S28" s="40">
        <f t="shared" si="11"/>
        <v>0</v>
      </c>
    </row>
    <row r="29" spans="1:19" ht="13.5" thickBot="1">
      <c r="A29" s="84" t="s">
        <v>323</v>
      </c>
      <c r="B29" s="121"/>
      <c r="C29" s="121"/>
      <c r="D29" s="121"/>
      <c r="E29" s="121"/>
      <c r="F29" s="121"/>
      <c r="G29" s="84" t="s">
        <v>323</v>
      </c>
      <c r="H29" s="45"/>
      <c r="I29" s="92" t="str">
        <f>DistanceUnits</f>
        <v>in</v>
      </c>
      <c r="J29" s="87"/>
      <c r="K29" s="29">
        <f t="shared" si="7"/>
        <v>0.34</v>
      </c>
      <c r="L29" s="39">
        <f t="shared" si="4"/>
        <v>12.24</v>
      </c>
      <c r="M29" s="40">
        <v>0</v>
      </c>
      <c r="N29" s="39">
        <f t="shared" ref="N29:N44" si="12">IF(AND(0 &lt;= x, x &lt;= a), a_C2 + a_C1*x - (M*x^3)/(6*(E*Ix)*L),     a_C2p + a_C1p*x + (M*(x^2/2 - x^3/(6*L)))/(E*Ix))</f>
        <v>4.026758879729537E-5</v>
      </c>
      <c r="O29" s="39">
        <f t="shared" ref="O29:O44" si="13">-(M/L)</f>
        <v>-100</v>
      </c>
      <c r="P29" s="39">
        <f t="shared" si="5"/>
        <v>-8.0840606014930962</v>
      </c>
      <c r="Q29" s="39">
        <f t="shared" ref="Q29:Q44" si="14">IF(x &lt; a, -((M*x)/L), M - (M*x)/L)</f>
        <v>-1224</v>
      </c>
      <c r="R29" s="41">
        <f t="shared" si="6"/>
        <v>-25.522336373947134</v>
      </c>
      <c r="S29" s="40">
        <f t="shared" si="11"/>
        <v>0</v>
      </c>
    </row>
    <row r="30" spans="1:19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7"/>
        <v>0.36000000000000004</v>
      </c>
      <c r="L30" s="39">
        <f t="shared" si="4"/>
        <v>12.96</v>
      </c>
      <c r="M30" s="40">
        <v>0</v>
      </c>
      <c r="N30" s="39">
        <f t="shared" si="12"/>
        <v>3.8194992315081627E-5</v>
      </c>
      <c r="O30" s="39">
        <f t="shared" si="13"/>
        <v>-100</v>
      </c>
      <c r="P30" s="39">
        <f t="shared" si="5"/>
        <v>-8.0840606014930962</v>
      </c>
      <c r="Q30" s="39">
        <f t="shared" si="14"/>
        <v>-1296</v>
      </c>
      <c r="R30" s="41">
        <f t="shared" si="6"/>
        <v>-27.023650278296966</v>
      </c>
      <c r="S30" s="40">
        <f t="shared" si="11"/>
        <v>0</v>
      </c>
    </row>
    <row r="31" spans="1:19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7"/>
        <v>0.38000000000000006</v>
      </c>
      <c r="L31" s="39">
        <f t="shared" si="4"/>
        <v>13.680000000000001</v>
      </c>
      <c r="M31" s="40">
        <v>0</v>
      </c>
      <c r="N31" s="39">
        <f t="shared" si="12"/>
        <v>3.5361033859809795E-5</v>
      </c>
      <c r="O31" s="39">
        <f t="shared" si="13"/>
        <v>-100</v>
      </c>
      <c r="P31" s="39">
        <f t="shared" si="5"/>
        <v>-8.0840606014930962</v>
      </c>
      <c r="Q31" s="39">
        <f t="shared" si="14"/>
        <v>-1368.0000000000002</v>
      </c>
      <c r="R31" s="41">
        <f t="shared" si="6"/>
        <v>-28.524964182646801</v>
      </c>
      <c r="S31" s="40">
        <f t="shared" si="11"/>
        <v>0</v>
      </c>
    </row>
    <row r="32" spans="1:19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7"/>
        <v>0.40000000000000008</v>
      </c>
      <c r="L32" s="39">
        <f t="shared" si="4"/>
        <v>14.400000000000002</v>
      </c>
      <c r="M32" s="40">
        <v>0</v>
      </c>
      <c r="N32" s="39">
        <f t="shared" si="12"/>
        <v>3.1723415544087734E-5</v>
      </c>
      <c r="O32" s="39">
        <f t="shared" si="13"/>
        <v>-100</v>
      </c>
      <c r="P32" s="39">
        <f t="shared" si="5"/>
        <v>-8.0840606014930962</v>
      </c>
      <c r="Q32" s="39">
        <f t="shared" si="14"/>
        <v>-1440.0000000000002</v>
      </c>
      <c r="R32" s="41">
        <f t="shared" si="6"/>
        <v>-30.02627808699663</v>
      </c>
      <c r="S32" s="40">
        <f t="shared" si="11"/>
        <v>0</v>
      </c>
    </row>
    <row r="33" spans="1:19">
      <c r="A33" s="45"/>
      <c r="B33" s="121"/>
      <c r="C33" s="121"/>
      <c r="D33" s="121"/>
      <c r="E33" s="121"/>
      <c r="F33" s="121"/>
      <c r="G33" s="45"/>
      <c r="H33" s="45"/>
      <c r="I33" s="93">
        <f>O9</f>
        <v>-100</v>
      </c>
      <c r="J33" s="87"/>
      <c r="K33" s="29">
        <f t="shared" si="7"/>
        <v>0.4200000000000001</v>
      </c>
      <c r="L33" s="39">
        <f t="shared" si="4"/>
        <v>15.120000000000003</v>
      </c>
      <c r="M33" s="40">
        <v>0</v>
      </c>
      <c r="N33" s="39">
        <f t="shared" si="12"/>
        <v>2.7239839480523332E-5</v>
      </c>
      <c r="O33" s="39">
        <f t="shared" si="13"/>
        <v>-100</v>
      </c>
      <c r="P33" s="39">
        <f t="shared" si="5"/>
        <v>-8.0840606014930962</v>
      </c>
      <c r="Q33" s="39">
        <f t="shared" si="14"/>
        <v>-1512.0000000000002</v>
      </c>
      <c r="R33" s="41">
        <f t="shared" si="6"/>
        <v>-31.527591991346462</v>
      </c>
      <c r="S33" s="40">
        <f t="shared" si="11"/>
        <v>0</v>
      </c>
    </row>
    <row r="34" spans="1:19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7"/>
        <v>0.44000000000000011</v>
      </c>
      <c r="L34" s="39">
        <f t="shared" si="4"/>
        <v>15.840000000000003</v>
      </c>
      <c r="M34" s="40">
        <v>0</v>
      </c>
      <c r="N34" s="39">
        <f t="shared" si="12"/>
        <v>2.1868007781724471E-5</v>
      </c>
      <c r="O34" s="39">
        <f t="shared" si="13"/>
        <v>-100</v>
      </c>
      <c r="P34" s="39">
        <f t="shared" si="5"/>
        <v>-8.0840606014930962</v>
      </c>
      <c r="Q34" s="39">
        <f t="shared" si="14"/>
        <v>-1584.0000000000005</v>
      </c>
      <c r="R34" s="41">
        <f t="shared" si="6"/>
        <v>-33.028905895696298</v>
      </c>
      <c r="S34" s="40">
        <f t="shared" si="11"/>
        <v>0</v>
      </c>
    </row>
    <row r="35" spans="1:19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7"/>
        <v>0.46000000000000013</v>
      </c>
      <c r="L35" s="39">
        <f t="shared" si="4"/>
        <v>16.560000000000006</v>
      </c>
      <c r="M35" s="40">
        <v>0</v>
      </c>
      <c r="N35" s="39">
        <f t="shared" si="12"/>
        <v>1.5565622560299012E-5</v>
      </c>
      <c r="O35" s="39">
        <f t="shared" si="13"/>
        <v>-100</v>
      </c>
      <c r="P35" s="39">
        <f t="shared" si="5"/>
        <v>-8.0840606014930962</v>
      </c>
      <c r="Q35" s="39">
        <f t="shared" si="14"/>
        <v>-1656.0000000000007</v>
      </c>
      <c r="R35" s="41">
        <f t="shared" si="6"/>
        <v>-34.530219800046133</v>
      </c>
      <c r="S35" s="40">
        <f t="shared" si="11"/>
        <v>0</v>
      </c>
    </row>
    <row r="36" spans="1:19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7"/>
        <v>0.48000000000000015</v>
      </c>
      <c r="L36" s="39">
        <f t="shared" si="4"/>
        <v>17.280000000000005</v>
      </c>
      <c r="M36" s="40">
        <v>0</v>
      </c>
      <c r="N36" s="39">
        <f t="shared" si="12"/>
        <v>8.2903859288549036E-6</v>
      </c>
      <c r="O36" s="39">
        <f t="shared" si="13"/>
        <v>-100</v>
      </c>
      <c r="P36" s="39">
        <f t="shared" si="5"/>
        <v>-8.0840606014930962</v>
      </c>
      <c r="Q36" s="39">
        <f t="shared" si="14"/>
        <v>-1728.0000000000005</v>
      </c>
      <c r="R36" s="41">
        <f t="shared" si="6"/>
        <v>-36.031533704395962</v>
      </c>
      <c r="S36" s="40">
        <f t="shared" si="11"/>
        <v>0</v>
      </c>
    </row>
    <row r="37" spans="1:19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7"/>
        <v>0.50000000000000011</v>
      </c>
      <c r="L37" s="39">
        <f t="shared" si="4"/>
        <v>18.000000000000004</v>
      </c>
      <c r="M37" s="40">
        <v>0</v>
      </c>
      <c r="N37" s="39">
        <f t="shared" si="12"/>
        <v>-5.4210108624275222E-20</v>
      </c>
      <c r="O37" s="39">
        <f t="shared" si="13"/>
        <v>-100</v>
      </c>
      <c r="P37" s="39">
        <f t="shared" si="5"/>
        <v>-8.0840606014930962</v>
      </c>
      <c r="Q37" s="39">
        <f t="shared" si="14"/>
        <v>1799.9999999999995</v>
      </c>
      <c r="R37" s="41">
        <f t="shared" si="6"/>
        <v>37.532847608745776</v>
      </c>
      <c r="S37" s="40">
        <f t="shared" si="11"/>
        <v>5000.00000000002</v>
      </c>
    </row>
    <row r="38" spans="1:19">
      <c r="A38" s="45"/>
      <c r="B38" s="121"/>
      <c r="C38" s="121"/>
      <c r="D38" s="121"/>
      <c r="E38" s="121"/>
      <c r="F38" s="121"/>
      <c r="G38" s="45"/>
      <c r="H38" s="45"/>
      <c r="I38" s="93">
        <f>O8</f>
        <v>-100</v>
      </c>
      <c r="J38" s="87"/>
      <c r="K38" s="29">
        <f t="shared" si="7"/>
        <v>0.52000000000000013</v>
      </c>
      <c r="L38" s="39">
        <f t="shared" si="4"/>
        <v>18.720000000000006</v>
      </c>
      <c r="M38" s="40">
        <v>0</v>
      </c>
      <c r="N38" s="39">
        <f t="shared" si="12"/>
        <v>-8.2903859288550527E-6</v>
      </c>
      <c r="O38" s="39">
        <f t="shared" si="13"/>
        <v>-100</v>
      </c>
      <c r="P38" s="39">
        <f t="shared" si="5"/>
        <v>-8.0840606014930962</v>
      </c>
      <c r="Q38" s="39">
        <f t="shared" si="14"/>
        <v>1727.9999999999995</v>
      </c>
      <c r="R38" s="41">
        <f t="shared" si="6"/>
        <v>36.03153370439594</v>
      </c>
      <c r="S38" s="40">
        <f t="shared" si="11"/>
        <v>0</v>
      </c>
    </row>
    <row r="39" spans="1:19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7"/>
        <v>0.54000000000000015</v>
      </c>
      <c r="L39" s="39">
        <f t="shared" si="4"/>
        <v>19.440000000000005</v>
      </c>
      <c r="M39" s="40">
        <v>0</v>
      </c>
      <c r="N39" s="39">
        <f t="shared" si="12"/>
        <v>-1.5565622560299148E-5</v>
      </c>
      <c r="O39" s="39">
        <f t="shared" si="13"/>
        <v>-100</v>
      </c>
      <c r="P39" s="39">
        <f t="shared" si="5"/>
        <v>-8.0840606014930962</v>
      </c>
      <c r="Q39" s="39">
        <f t="shared" si="14"/>
        <v>1655.9999999999995</v>
      </c>
      <c r="R39" s="41">
        <f t="shared" si="6"/>
        <v>34.530219800046112</v>
      </c>
      <c r="S39" s="40">
        <f t="shared" si="11"/>
        <v>0</v>
      </c>
    </row>
    <row r="40" spans="1:19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7"/>
        <v>0.56000000000000016</v>
      </c>
      <c r="L40" s="39">
        <f t="shared" si="4"/>
        <v>20.160000000000007</v>
      </c>
      <c r="M40" s="40">
        <v>0</v>
      </c>
      <c r="N40" s="39">
        <f t="shared" si="12"/>
        <v>-2.1868007781724675E-5</v>
      </c>
      <c r="O40" s="39">
        <f t="shared" si="13"/>
        <v>-100</v>
      </c>
      <c r="P40" s="39">
        <f t="shared" si="5"/>
        <v>-8.0840606014930962</v>
      </c>
      <c r="Q40" s="39">
        <f t="shared" si="14"/>
        <v>1583.9999999999991</v>
      </c>
      <c r="R40" s="41">
        <f t="shared" si="6"/>
        <v>33.028905895696269</v>
      </c>
      <c r="S40" s="40">
        <f t="shared" si="11"/>
        <v>0</v>
      </c>
    </row>
    <row r="41" spans="1:19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7"/>
        <v>0.58000000000000018</v>
      </c>
      <c r="L41" s="39">
        <f t="shared" si="4"/>
        <v>20.880000000000006</v>
      </c>
      <c r="M41" s="40">
        <v>0</v>
      </c>
      <c r="N41" s="39">
        <f t="shared" si="12"/>
        <v>-2.723983948052359E-5</v>
      </c>
      <c r="O41" s="39">
        <f t="shared" si="13"/>
        <v>-100</v>
      </c>
      <c r="P41" s="39">
        <f t="shared" si="5"/>
        <v>-8.0840606014930962</v>
      </c>
      <c r="Q41" s="39">
        <f t="shared" si="14"/>
        <v>1511.9999999999991</v>
      </c>
      <c r="R41" s="41">
        <f t="shared" si="6"/>
        <v>31.527591991346441</v>
      </c>
      <c r="S41" s="40">
        <f t="shared" si="11"/>
        <v>0</v>
      </c>
    </row>
    <row r="42" spans="1:19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7"/>
        <v>0.6000000000000002</v>
      </c>
      <c r="L42" s="39">
        <f t="shared" si="4"/>
        <v>21.600000000000009</v>
      </c>
      <c r="M42" s="40">
        <v>0</v>
      </c>
      <c r="N42" s="39">
        <f t="shared" si="12"/>
        <v>-3.1723415544087741E-5</v>
      </c>
      <c r="O42" s="39">
        <f t="shared" si="13"/>
        <v>-100</v>
      </c>
      <c r="P42" s="39">
        <f t="shared" si="5"/>
        <v>-8.0840606014930962</v>
      </c>
      <c r="Q42" s="39">
        <f t="shared" si="14"/>
        <v>1439.9999999999991</v>
      </c>
      <c r="R42" s="41">
        <f t="shared" si="6"/>
        <v>30.026278086996609</v>
      </c>
      <c r="S42" s="40">
        <f t="shared" si="11"/>
        <v>0</v>
      </c>
    </row>
    <row r="43" spans="1:19">
      <c r="A43" s="45"/>
      <c r="B43" s="121"/>
      <c r="C43" s="121"/>
      <c r="D43" s="121"/>
      <c r="E43" s="121"/>
      <c r="F43" s="121"/>
      <c r="G43" s="45"/>
      <c r="H43" s="45"/>
      <c r="I43" s="93">
        <f>Q9</f>
        <v>1799.9999999999995</v>
      </c>
      <c r="J43" s="87"/>
      <c r="K43" s="29">
        <f t="shared" si="7"/>
        <v>0.62000000000000022</v>
      </c>
      <c r="L43" s="39">
        <f t="shared" si="4"/>
        <v>22.320000000000007</v>
      </c>
      <c r="M43" s="40">
        <v>0</v>
      </c>
      <c r="N43" s="39">
        <f t="shared" si="12"/>
        <v>-3.5361033859809951E-5</v>
      </c>
      <c r="O43" s="39">
        <f t="shared" si="13"/>
        <v>-100</v>
      </c>
      <c r="P43" s="39">
        <f t="shared" si="5"/>
        <v>-8.0840606014930962</v>
      </c>
      <c r="Q43" s="39">
        <f t="shared" si="14"/>
        <v>1367.9999999999991</v>
      </c>
      <c r="R43" s="41">
        <f t="shared" si="6"/>
        <v>28.524964182646777</v>
      </c>
      <c r="S43" s="40">
        <f t="shared" si="11"/>
        <v>0</v>
      </c>
    </row>
    <row r="44" spans="1:19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7"/>
        <v>0.64000000000000024</v>
      </c>
      <c r="L44" s="39">
        <f t="shared" ref="L44:L62" si="15">L*K44</f>
        <v>23.04000000000001</v>
      </c>
      <c r="M44" s="40">
        <v>0</v>
      </c>
      <c r="N44" s="39">
        <f t="shared" si="12"/>
        <v>-3.8194992315081742E-5</v>
      </c>
      <c r="O44" s="39">
        <f t="shared" si="13"/>
        <v>-100</v>
      </c>
      <c r="P44" s="39">
        <f t="shared" ref="P44:P62" si="16">V/A_CS</f>
        <v>-8.0840606014930962</v>
      </c>
      <c r="Q44" s="39">
        <f t="shared" si="14"/>
        <v>1295.9999999999991</v>
      </c>
      <c r="R44" s="41">
        <f t="shared" ref="R44:R62" si="17">Ybar*Q44/Ix</f>
        <v>27.023650278296945</v>
      </c>
      <c r="S44" s="40">
        <f t="shared" si="11"/>
        <v>0</v>
      </c>
    </row>
    <row r="45" spans="1:19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8">K44+0.02</f>
        <v>0.66000000000000025</v>
      </c>
      <c r="L45" s="39">
        <f t="shared" si="15"/>
        <v>23.760000000000009</v>
      </c>
      <c r="M45" s="40">
        <v>0</v>
      </c>
      <c r="N45" s="39">
        <f t="shared" ref="N45:N60" si="19">IF(AND(0 &lt;= x, x &lt;= a), a_C2 + a_C1*x - (M*x^3)/(6*(E*Ix)*L),     a_C2p + a_C1p*x + (M*(x^2/2 - x^3/(6*L)))/(E*Ix))</f>
        <v>-4.0267588797295506E-5</v>
      </c>
      <c r="O45" s="39">
        <f t="shared" ref="O45:O60" si="20">-(M/L)</f>
        <v>-100</v>
      </c>
      <c r="P45" s="39">
        <f t="shared" si="16"/>
        <v>-8.0840606014930962</v>
      </c>
      <c r="Q45" s="39">
        <f t="shared" ref="Q45:Q60" si="21">IF(x &lt; a, -((M*x)/L), M - (M*x)/L)</f>
        <v>1223.9999999999991</v>
      </c>
      <c r="R45" s="41">
        <f t="shared" si="17"/>
        <v>25.522336373947113</v>
      </c>
      <c r="S45" s="40">
        <f t="shared" ref="S45:S61" si="22">IF(AND(x &lt;= a, a &lt; L46), ( (L46-a)/(L46-x) * M/((x-L44)/2+(L46-x)/2) ), IF(AND(L44 &lt; a, a &lt;= x), (  (a - L44)/(x - L44)*M/((x-L44)/2+(L46-x)/2) ), 0))</f>
        <v>0</v>
      </c>
    </row>
    <row r="46" spans="1:19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8"/>
        <v>0.68000000000000027</v>
      </c>
      <c r="L46" s="39">
        <f t="shared" si="15"/>
        <v>24.480000000000011</v>
      </c>
      <c r="M46" s="40">
        <v>0</v>
      </c>
      <c r="N46" s="39">
        <f t="shared" si="19"/>
        <v>-4.1621121193843196E-5</v>
      </c>
      <c r="O46" s="39">
        <f t="shared" si="20"/>
        <v>-100</v>
      </c>
      <c r="P46" s="39">
        <f t="shared" si="16"/>
        <v>-8.0840606014930962</v>
      </c>
      <c r="Q46" s="39">
        <f t="shared" si="21"/>
        <v>1151.9999999999986</v>
      </c>
      <c r="R46" s="41">
        <f t="shared" si="17"/>
        <v>24.021022469597273</v>
      </c>
      <c r="S46" s="40">
        <f t="shared" si="22"/>
        <v>0</v>
      </c>
    </row>
    <row r="47" spans="1:19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8"/>
        <v>0.70000000000000029</v>
      </c>
      <c r="L47" s="39">
        <f t="shared" si="15"/>
        <v>25.20000000000001</v>
      </c>
      <c r="M47" s="40">
        <v>0</v>
      </c>
      <c r="N47" s="39">
        <f t="shared" si="19"/>
        <v>-4.2297887392116987E-5</v>
      </c>
      <c r="O47" s="39">
        <f t="shared" si="20"/>
        <v>-100</v>
      </c>
      <c r="P47" s="39">
        <f t="shared" si="16"/>
        <v>-8.0840606014930962</v>
      </c>
      <c r="Q47" s="39">
        <f t="shared" si="21"/>
        <v>1079.9999999999991</v>
      </c>
      <c r="R47" s="41">
        <f t="shared" si="17"/>
        <v>22.519708565247452</v>
      </c>
      <c r="S47" s="40">
        <f t="shared" si="22"/>
        <v>0</v>
      </c>
    </row>
    <row r="48" spans="1:19">
      <c r="A48" s="45"/>
      <c r="B48" s="121"/>
      <c r="C48" s="121"/>
      <c r="D48" s="121"/>
      <c r="E48" s="121"/>
      <c r="F48" s="121"/>
      <c r="G48" s="45"/>
      <c r="H48" s="45"/>
      <c r="I48" s="93">
        <f>Q8</f>
        <v>-1728.0000000000005</v>
      </c>
      <c r="J48" s="87"/>
      <c r="K48" s="29">
        <f t="shared" si="18"/>
        <v>0.72000000000000031</v>
      </c>
      <c r="L48" s="39">
        <f t="shared" si="15"/>
        <v>25.920000000000012</v>
      </c>
      <c r="M48" s="40">
        <v>0</v>
      </c>
      <c r="N48" s="39">
        <f t="shared" si="19"/>
        <v>-4.2340185279509052E-5</v>
      </c>
      <c r="O48" s="39">
        <f t="shared" si="20"/>
        <v>-100</v>
      </c>
      <c r="P48" s="39">
        <f t="shared" si="16"/>
        <v>-8.0840606014930962</v>
      </c>
      <c r="Q48" s="39">
        <f t="shared" si="21"/>
        <v>1007.9999999999986</v>
      </c>
      <c r="R48" s="41">
        <f t="shared" si="17"/>
        <v>21.018394660897609</v>
      </c>
      <c r="S48" s="40">
        <f t="shared" si="22"/>
        <v>0</v>
      </c>
    </row>
    <row r="49" spans="1:19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8"/>
        <v>0.74000000000000032</v>
      </c>
      <c r="L49" s="39">
        <f t="shared" si="15"/>
        <v>26.640000000000011</v>
      </c>
      <c r="M49" s="40">
        <v>0</v>
      </c>
      <c r="N49" s="39">
        <f t="shared" si="19"/>
        <v>-4.1790312743411563E-5</v>
      </c>
      <c r="O49" s="39">
        <f t="shared" si="20"/>
        <v>-100</v>
      </c>
      <c r="P49" s="39">
        <f t="shared" si="16"/>
        <v>-8.0840606014930962</v>
      </c>
      <c r="Q49" s="39">
        <f t="shared" si="21"/>
        <v>935.99999999999864</v>
      </c>
      <c r="R49" s="41">
        <f t="shared" si="17"/>
        <v>19.517080756547777</v>
      </c>
      <c r="S49" s="40">
        <f t="shared" si="22"/>
        <v>0</v>
      </c>
    </row>
    <row r="50" spans="1:19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8"/>
        <v>0.76000000000000034</v>
      </c>
      <c r="L50" s="39">
        <f t="shared" si="15"/>
        <v>27.360000000000014</v>
      </c>
      <c r="M50" s="40">
        <v>0</v>
      </c>
      <c r="N50" s="39">
        <f t="shared" si="19"/>
        <v>-4.0690567671216801E-5</v>
      </c>
      <c r="O50" s="39">
        <f t="shared" si="20"/>
        <v>-100</v>
      </c>
      <c r="P50" s="39">
        <f t="shared" si="16"/>
        <v>-8.0840606014930962</v>
      </c>
      <c r="Q50" s="39">
        <f t="shared" si="21"/>
        <v>863.99999999999864</v>
      </c>
      <c r="R50" s="41">
        <f t="shared" si="17"/>
        <v>18.015766852197949</v>
      </c>
      <c r="S50" s="40">
        <f t="shared" si="22"/>
        <v>0</v>
      </c>
    </row>
    <row r="51" spans="1:19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8"/>
        <v>0.78000000000000036</v>
      </c>
      <c r="L51" s="39">
        <f t="shared" si="15"/>
        <v>28.080000000000013</v>
      </c>
      <c r="M51" s="40">
        <v>0</v>
      </c>
      <c r="N51" s="39">
        <f t="shared" si="19"/>
        <v>-3.9083247950316181E-5</v>
      </c>
      <c r="O51" s="39">
        <f t="shared" si="20"/>
        <v>-100</v>
      </c>
      <c r="P51" s="39">
        <f t="shared" si="16"/>
        <v>-8.0840606014930962</v>
      </c>
      <c r="Q51" s="39">
        <f t="shared" si="21"/>
        <v>791.99999999999864</v>
      </c>
      <c r="R51" s="41">
        <f t="shared" si="17"/>
        <v>16.514452947848117</v>
      </c>
      <c r="S51" s="40">
        <f t="shared" si="22"/>
        <v>0</v>
      </c>
    </row>
    <row r="52" spans="1:19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8"/>
        <v>0.80000000000000038</v>
      </c>
      <c r="L52" s="39">
        <f t="shared" si="15"/>
        <v>28.800000000000015</v>
      </c>
      <c r="M52" s="40">
        <v>0</v>
      </c>
      <c r="N52" s="39">
        <f t="shared" si="19"/>
        <v>-3.7010651468102418E-5</v>
      </c>
      <c r="O52" s="39">
        <f t="shared" si="20"/>
        <v>-100</v>
      </c>
      <c r="P52" s="39">
        <f t="shared" si="16"/>
        <v>-8.0840606014930962</v>
      </c>
      <c r="Q52" s="39">
        <f t="shared" si="21"/>
        <v>719.99999999999818</v>
      </c>
      <c r="R52" s="41">
        <f t="shared" si="17"/>
        <v>15.013139043498276</v>
      </c>
      <c r="S52" s="40">
        <f t="shared" si="22"/>
        <v>0</v>
      </c>
    </row>
    <row r="53" spans="1:19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8"/>
        <v>0.8200000000000004</v>
      </c>
      <c r="L53" s="39">
        <f t="shared" si="15"/>
        <v>29.520000000000014</v>
      </c>
      <c r="M53" s="40">
        <v>0</v>
      </c>
      <c r="N53" s="39">
        <f t="shared" si="19"/>
        <v>-3.4515076111967576E-5</v>
      </c>
      <c r="O53" s="39">
        <f t="shared" si="20"/>
        <v>-100</v>
      </c>
      <c r="P53" s="39">
        <f t="shared" si="16"/>
        <v>-8.0840606014930962</v>
      </c>
      <c r="Q53" s="39">
        <f t="shared" si="21"/>
        <v>647.99999999999864</v>
      </c>
      <c r="R53" s="41">
        <f t="shared" si="17"/>
        <v>13.511825139148453</v>
      </c>
      <c r="S53" s="40">
        <f t="shared" si="22"/>
        <v>0</v>
      </c>
    </row>
    <row r="54" spans="1:19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8"/>
        <v>0.84000000000000041</v>
      </c>
      <c r="L54" s="39">
        <f t="shared" si="15"/>
        <v>30.240000000000016</v>
      </c>
      <c r="M54" s="40">
        <v>0</v>
      </c>
      <c r="N54" s="39">
        <f t="shared" si="19"/>
        <v>-3.1638819769303503E-5</v>
      </c>
      <c r="O54" s="39">
        <f t="shared" si="20"/>
        <v>-100</v>
      </c>
      <c r="P54" s="39">
        <f t="shared" si="16"/>
        <v>-8.0840606014930962</v>
      </c>
      <c r="Q54" s="39">
        <f t="shared" si="21"/>
        <v>575.99999999999818</v>
      </c>
      <c r="R54" s="41">
        <f t="shared" si="17"/>
        <v>12.010511234798614</v>
      </c>
      <c r="S54" s="40">
        <f t="shared" si="22"/>
        <v>0</v>
      </c>
    </row>
    <row r="55" spans="1:19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8"/>
        <v>0.86000000000000043</v>
      </c>
      <c r="L55" s="39">
        <f t="shared" si="15"/>
        <v>30.960000000000015</v>
      </c>
      <c r="M55" s="40">
        <v>0</v>
      </c>
      <c r="N55" s="39">
        <f t="shared" si="19"/>
        <v>-2.842418032750248E-5</v>
      </c>
      <c r="O55" s="39">
        <f t="shared" si="20"/>
        <v>-100</v>
      </c>
      <c r="P55" s="39">
        <f t="shared" si="16"/>
        <v>-8.0840606014930962</v>
      </c>
      <c r="Q55" s="39">
        <f t="shared" si="21"/>
        <v>503.99999999999818</v>
      </c>
      <c r="R55" s="41">
        <f t="shared" si="17"/>
        <v>10.509197330448782</v>
      </c>
      <c r="S55" s="40">
        <f t="shared" si="22"/>
        <v>0</v>
      </c>
    </row>
    <row r="56" spans="1:19">
      <c r="A56" s="45"/>
      <c r="B56" s="45"/>
      <c r="C56" s="45"/>
      <c r="D56" s="129" t="s">
        <v>326</v>
      </c>
      <c r="E56" s="130">
        <f>((-3*a^2 + 6*a*L - 2*L^2)*M)/(6*(E*Ix)*L)</f>
        <v>6.1194860231650734E-6</v>
      </c>
      <c r="F56" s="45"/>
      <c r="G56" s="45"/>
      <c r="H56" s="45"/>
      <c r="I56" s="45"/>
      <c r="J56" s="87"/>
      <c r="K56" s="29">
        <f t="shared" si="18"/>
        <v>0.88000000000000045</v>
      </c>
      <c r="L56" s="39">
        <f t="shared" si="15"/>
        <v>31.680000000000017</v>
      </c>
      <c r="M56" s="40">
        <v>0</v>
      </c>
      <c r="N56" s="39">
        <f t="shared" si="19"/>
        <v>-2.4913455673956572E-5</v>
      </c>
      <c r="O56" s="39">
        <f t="shared" si="20"/>
        <v>-100</v>
      </c>
      <c r="P56" s="39">
        <f t="shared" si="16"/>
        <v>-8.0840606014930962</v>
      </c>
      <c r="Q56" s="39">
        <f t="shared" si="21"/>
        <v>431.99999999999818</v>
      </c>
      <c r="R56" s="41">
        <f t="shared" si="17"/>
        <v>9.0078834260989495</v>
      </c>
      <c r="S56" s="40">
        <f t="shared" si="22"/>
        <v>0</v>
      </c>
    </row>
    <row r="57" spans="1:19">
      <c r="A57" s="45"/>
      <c r="B57" s="45"/>
      <c r="C57" s="45"/>
      <c r="D57" s="129" t="s">
        <v>327</v>
      </c>
      <c r="E57" s="130">
        <f>0</f>
        <v>0</v>
      </c>
      <c r="F57" s="45"/>
      <c r="G57" s="45"/>
      <c r="H57" s="45"/>
      <c r="I57" s="45"/>
      <c r="J57" s="87"/>
      <c r="K57" s="29">
        <f t="shared" si="18"/>
        <v>0.90000000000000047</v>
      </c>
      <c r="L57" s="39">
        <f t="shared" si="15"/>
        <v>32.40000000000002</v>
      </c>
      <c r="M57" s="40">
        <v>0</v>
      </c>
      <c r="N57" s="39">
        <f t="shared" si="19"/>
        <v>-2.1148943696058277E-5</v>
      </c>
      <c r="O57" s="39">
        <f t="shared" si="20"/>
        <v>-100</v>
      </c>
      <c r="P57" s="39">
        <f t="shared" si="16"/>
        <v>-8.0840606014930962</v>
      </c>
      <c r="Q57" s="39">
        <f t="shared" si="21"/>
        <v>359.99999999999818</v>
      </c>
      <c r="R57" s="41">
        <f t="shared" si="17"/>
        <v>7.5065695217491184</v>
      </c>
      <c r="S57" s="40">
        <f t="shared" si="22"/>
        <v>0</v>
      </c>
    </row>
    <row r="58" spans="1:19">
      <c r="A58" s="45"/>
      <c r="B58" s="45"/>
      <c r="C58" s="45"/>
      <c r="D58" s="129" t="s">
        <v>328</v>
      </c>
      <c r="E58" s="130">
        <f>-((3*a^2 + 2*L^2)*M)/(6*(E*Ix)*L)</f>
        <v>-6.7314346254815808E-5</v>
      </c>
      <c r="F58" s="45"/>
      <c r="G58" s="45"/>
      <c r="H58" s="45"/>
      <c r="I58" s="45"/>
      <c r="J58" s="87"/>
      <c r="K58" s="29">
        <f t="shared" si="18"/>
        <v>0.92000000000000048</v>
      </c>
      <c r="L58" s="39">
        <f t="shared" si="15"/>
        <v>33.120000000000019</v>
      </c>
      <c r="M58" s="40">
        <v>0</v>
      </c>
      <c r="N58" s="39">
        <f t="shared" si="19"/>
        <v>-1.7172942281199659E-5</v>
      </c>
      <c r="O58" s="39">
        <f t="shared" si="20"/>
        <v>-100</v>
      </c>
      <c r="P58" s="39">
        <f t="shared" si="16"/>
        <v>-8.0840606014930962</v>
      </c>
      <c r="Q58" s="39">
        <f t="shared" si="21"/>
        <v>287.99999999999818</v>
      </c>
      <c r="R58" s="41">
        <f t="shared" si="17"/>
        <v>6.0052556173992873</v>
      </c>
      <c r="S58" s="40">
        <f t="shared" si="22"/>
        <v>0</v>
      </c>
    </row>
    <row r="59" spans="1:19" ht="15">
      <c r="A59" s="45"/>
      <c r="B59" s="45"/>
      <c r="C59" s="131"/>
      <c r="D59" s="129" t="s">
        <v>329</v>
      </c>
      <c r="E59" s="130">
        <f>(a^2*M)/(2*(E*Ix))</f>
        <v>6.6090449050182788E-4</v>
      </c>
      <c r="F59" s="45"/>
      <c r="G59" s="45"/>
      <c r="H59" s="45"/>
      <c r="I59" s="45"/>
      <c r="J59" s="87"/>
      <c r="K59" s="29">
        <f t="shared" si="18"/>
        <v>0.9400000000000005</v>
      </c>
      <c r="L59" s="39">
        <f t="shared" si="15"/>
        <v>33.840000000000018</v>
      </c>
      <c r="M59" s="40">
        <v>0</v>
      </c>
      <c r="N59" s="39">
        <f t="shared" si="19"/>
        <v>-1.3027749316772133E-5</v>
      </c>
      <c r="O59" s="39">
        <f t="shared" si="20"/>
        <v>-100</v>
      </c>
      <c r="P59" s="39">
        <f t="shared" si="16"/>
        <v>-8.0840606014930962</v>
      </c>
      <c r="Q59" s="39">
        <f t="shared" si="21"/>
        <v>215.99999999999818</v>
      </c>
      <c r="R59" s="41">
        <f t="shared" si="17"/>
        <v>4.5039417130494561</v>
      </c>
      <c r="S59" s="40">
        <f t="shared" si="22"/>
        <v>0</v>
      </c>
    </row>
    <row r="60" spans="1:19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29">
        <f t="shared" si="18"/>
        <v>0.96000000000000052</v>
      </c>
      <c r="L60" s="39">
        <f t="shared" si="15"/>
        <v>34.560000000000016</v>
      </c>
      <c r="M60" s="40">
        <v>0</v>
      </c>
      <c r="N60" s="39">
        <f t="shared" si="19"/>
        <v>-8.755662690168196E-6</v>
      </c>
      <c r="O60" s="39">
        <f t="shared" si="20"/>
        <v>-100</v>
      </c>
      <c r="P60" s="39">
        <f t="shared" si="16"/>
        <v>-8.0840606014930962</v>
      </c>
      <c r="Q60" s="39">
        <f t="shared" si="21"/>
        <v>143.99999999999818</v>
      </c>
      <c r="R60" s="41">
        <f t="shared" si="17"/>
        <v>3.0026278086996245</v>
      </c>
      <c r="S60" s="40">
        <f t="shared" si="22"/>
        <v>0</v>
      </c>
    </row>
    <row r="61" spans="1:19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29">
        <f t="shared" si="18"/>
        <v>0.98000000000000054</v>
      </c>
      <c r="L61" s="39">
        <f t="shared" si="15"/>
        <v>35.280000000000022</v>
      </c>
      <c r="M61" s="40">
        <v>0</v>
      </c>
      <c r="N61" s="39">
        <f>IF(AND(0 &lt;= x, x &lt;= a), a_C2 + a_C1*x - (M*x^3)/(6*(E*Ix)*L),     a_C2p + a_C1p*x + (M*(x^2/2 - x^3/(6*L)))/(E*Ix))</f>
        <v>-4.3989802887803471E-6</v>
      </c>
      <c r="O61" s="39">
        <f>-(M/L)</f>
        <v>-100</v>
      </c>
      <c r="P61" s="39">
        <f t="shared" si="16"/>
        <v>-8.0840606014930962</v>
      </c>
      <c r="Q61" s="39">
        <f>IF(x &lt; a, -((M*x)/L), M - (M*x)/L)</f>
        <v>71.999999999997726</v>
      </c>
      <c r="R61" s="41">
        <f t="shared" si="17"/>
        <v>1.5013139043497838</v>
      </c>
      <c r="S61" s="40">
        <f t="shared" si="22"/>
        <v>0</v>
      </c>
    </row>
    <row r="62" spans="1:19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8"/>
        <v>1.0000000000000004</v>
      </c>
      <c r="L62" s="42">
        <f t="shared" si="15"/>
        <v>36.000000000000014</v>
      </c>
      <c r="M62" s="43">
        <v>0</v>
      </c>
      <c r="N62" s="42">
        <f>IF(AND(0 &lt;= x, x &lt;= a), a_C2 + a_C1*x - (M*x^3)/(6*(E*Ix)*L),     a_C2p + a_C1p*x + (M*(x^2/2 - x^3/(6*L)))/(E*Ix))</f>
        <v>2.1684043449710089E-19</v>
      </c>
      <c r="O62" s="42">
        <f>-(M/L)</f>
        <v>-100</v>
      </c>
      <c r="P62" s="42">
        <f t="shared" si="16"/>
        <v>-8.0840606014930962</v>
      </c>
      <c r="Q62" s="42">
        <f>IF(x &lt; a, -((M*x)/L), M - (M*x)/L)</f>
        <v>-1.8189894035458565E-12</v>
      </c>
      <c r="R62" s="44">
        <f t="shared" si="17"/>
        <v>-3.7928806714005568E-14</v>
      </c>
      <c r="S62" s="43">
        <f>IF(AND(L61 &lt; a, a &lt;= x), (  (a - L61)/(x - L61)*M/((x-L61)) ), 0)</f>
        <v>0</v>
      </c>
    </row>
    <row r="63" spans="1:19" ht="13.5" thickTop="1">
      <c r="J63" s="15"/>
    </row>
    <row r="64" spans="1:19">
      <c r="D64" s="16"/>
      <c r="E64" s="17"/>
      <c r="J64" s="15"/>
    </row>
    <row r="65" spans="4:10">
      <c r="D65" s="18"/>
      <c r="E65" s="19"/>
      <c r="J65" s="15"/>
    </row>
    <row r="66" spans="4:10">
      <c r="D66" s="20"/>
      <c r="E66" s="17"/>
      <c r="J66" s="15"/>
    </row>
    <row r="67" spans="4:10">
      <c r="D67" s="20"/>
      <c r="E67" s="17"/>
      <c r="J67" s="15"/>
    </row>
    <row r="68" spans="4:10">
      <c r="J68" s="15"/>
    </row>
    <row r="69" spans="4:10">
      <c r="J69" s="15"/>
    </row>
    <row r="70" spans="4:10">
      <c r="J70" s="15"/>
    </row>
    <row r="71" spans="4:10">
      <c r="J71" s="15"/>
    </row>
    <row r="72" spans="4:10">
      <c r="J72" s="15"/>
    </row>
    <row r="73" spans="4:10">
      <c r="J73" s="15"/>
    </row>
    <row r="74" spans="4:10">
      <c r="J74" s="15"/>
    </row>
    <row r="75" spans="4:10">
      <c r="J75" s="15"/>
    </row>
    <row r="76" spans="4:10">
      <c r="J76" s="15"/>
    </row>
    <row r="77" spans="4:10">
      <c r="J77" s="15"/>
    </row>
    <row r="78" spans="4:10">
      <c r="J78" s="15"/>
    </row>
    <row r="79" spans="4:10">
      <c r="J79" s="15"/>
    </row>
    <row r="80" spans="4:10">
      <c r="J80" s="15"/>
    </row>
    <row r="81" spans="1:10">
      <c r="J81" s="15"/>
    </row>
    <row r="82" spans="1:10">
      <c r="A82" s="21"/>
      <c r="B82" s="22"/>
      <c r="C82" s="23"/>
      <c r="D82" s="22"/>
      <c r="E82" s="22"/>
      <c r="F82" s="21"/>
      <c r="G82" s="21"/>
      <c r="H82" s="21"/>
      <c r="J82" s="15"/>
    </row>
    <row r="83" spans="1:10">
      <c r="A83" s="21"/>
      <c r="B83" s="22"/>
      <c r="C83" s="23"/>
      <c r="D83" s="22"/>
      <c r="E83" s="22"/>
      <c r="F83" s="21"/>
      <c r="G83" s="21"/>
      <c r="H83" s="21"/>
      <c r="I83" s="21"/>
    </row>
    <row r="84" spans="1:10">
      <c r="A84" s="21"/>
      <c r="B84" s="22"/>
      <c r="C84" s="23"/>
      <c r="D84" s="22"/>
      <c r="E84" s="22"/>
      <c r="F84" s="21"/>
      <c r="G84" s="21"/>
      <c r="H84" s="21"/>
      <c r="I84" s="21"/>
    </row>
    <row r="85" spans="1:10">
      <c r="A85" s="21"/>
      <c r="B85" s="22"/>
      <c r="C85" s="23"/>
      <c r="D85" s="22"/>
      <c r="E85" s="22"/>
      <c r="F85" s="21"/>
      <c r="G85" s="21"/>
      <c r="H85" s="21"/>
      <c r="I85" s="21"/>
    </row>
    <row r="86" spans="1:10">
      <c r="A86" s="21"/>
      <c r="B86" s="22"/>
      <c r="C86" s="23"/>
      <c r="D86" s="22"/>
      <c r="E86" s="22"/>
      <c r="F86" s="21"/>
      <c r="G86" s="21"/>
      <c r="H86" s="21"/>
      <c r="I86" s="21"/>
    </row>
    <row r="87" spans="1:10">
      <c r="A87" s="21"/>
      <c r="B87" s="22"/>
      <c r="C87" s="23"/>
      <c r="D87" s="22"/>
      <c r="E87" s="22"/>
      <c r="F87" s="21"/>
      <c r="G87" s="21"/>
      <c r="H87" s="21"/>
      <c r="I87" s="21"/>
    </row>
    <row r="88" spans="1:10">
      <c r="A88" s="21"/>
      <c r="B88" s="22"/>
      <c r="C88" s="23"/>
      <c r="D88" s="22"/>
      <c r="E88" s="22"/>
      <c r="F88" s="21"/>
      <c r="G88" s="21"/>
      <c r="H88" s="21"/>
      <c r="I88" s="21"/>
    </row>
    <row r="89" spans="1:10">
      <c r="A89" s="21"/>
      <c r="B89" s="22"/>
      <c r="C89" s="23"/>
      <c r="D89" s="22"/>
      <c r="E89" s="22"/>
      <c r="F89" s="21"/>
      <c r="G89" s="21"/>
      <c r="H89" s="21"/>
      <c r="I89" s="21"/>
    </row>
    <row r="90" spans="1:10">
      <c r="A90" s="21"/>
      <c r="B90" s="22"/>
      <c r="C90" s="23"/>
      <c r="D90" s="22"/>
      <c r="E90" s="22"/>
      <c r="F90" s="21"/>
      <c r="G90" s="21"/>
      <c r="H90" s="21"/>
      <c r="I90" s="21"/>
    </row>
    <row r="91" spans="1:10">
      <c r="A91" s="21"/>
      <c r="B91" s="22"/>
      <c r="C91" s="23"/>
      <c r="D91" s="22"/>
      <c r="E91" s="22"/>
      <c r="F91" s="21"/>
      <c r="G91" s="21"/>
      <c r="H91" s="21"/>
      <c r="I91" s="21"/>
    </row>
    <row r="92" spans="1:10">
      <c r="A92" s="21"/>
      <c r="B92" s="22"/>
      <c r="C92" s="23"/>
      <c r="D92" s="22"/>
      <c r="E92" s="22"/>
      <c r="F92" s="21"/>
      <c r="G92" s="21"/>
      <c r="H92" s="21"/>
      <c r="I92" s="21"/>
    </row>
    <row r="93" spans="1:10">
      <c r="A93" s="21"/>
      <c r="B93" s="22"/>
      <c r="C93" s="23"/>
      <c r="D93" s="22"/>
      <c r="E93" s="22"/>
      <c r="F93" s="21"/>
      <c r="G93" s="21"/>
      <c r="H93" s="21"/>
      <c r="I93" s="21"/>
    </row>
    <row r="94" spans="1:10">
      <c r="A94" s="21"/>
      <c r="B94" s="22"/>
      <c r="C94" s="23"/>
      <c r="D94" s="22"/>
      <c r="E94" s="22"/>
      <c r="F94" s="21"/>
      <c r="G94" s="21"/>
      <c r="H94" s="21"/>
      <c r="I94" s="21"/>
    </row>
    <row r="95" spans="1:10">
      <c r="A95" s="21"/>
      <c r="B95" s="22"/>
      <c r="C95" s="23"/>
      <c r="D95" s="22"/>
      <c r="E95" s="22"/>
      <c r="F95" s="21"/>
      <c r="G95" s="21"/>
      <c r="H95" s="21"/>
      <c r="I95" s="21"/>
    </row>
    <row r="96" spans="1:10">
      <c r="A96" s="21"/>
      <c r="B96" s="22"/>
      <c r="C96" s="23"/>
      <c r="D96" s="22"/>
      <c r="E96" s="22"/>
      <c r="F96" s="21"/>
      <c r="G96" s="21"/>
      <c r="H96" s="21"/>
      <c r="I96" s="21"/>
    </row>
  </sheetData>
  <sheetProtection password="C4AC" sheet="1" objects="1" scenarios="1"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6" orientation="landscape" horizontalDpi="4294967292" verticalDpi="4294967292" r:id="rId1"/>
  <headerFooter alignWithMargins="0"/>
  <drawing r:id="rId2"/>
  <legacyDrawing r:id="rId3"/>
  <oleObjects>
    <oleObject progId="MSPhotoEd.3" shapeId="9079" r:id="rId4"/>
    <oleObject progId="MSPhotoEd.3" shapeId="9080" r:id="rId5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syncHorizontal="1" syncRef="A1" codeName="Sheet9">
    <pageSetUpPr fitToPage="1"/>
  </sheetPr>
  <dimension ref="A1:R96"/>
  <sheetViews>
    <sheetView showGridLines="0" defaultGridColor="0" colorId="8" workbookViewId="0">
      <selection activeCell="B10" sqref="B10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7.42578125" style="304" customWidth="1"/>
    <col min="8" max="8" width="1.42578125" style="304" customWidth="1"/>
    <col min="9" max="9" width="8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290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336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332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 t="s">
        <v>337</v>
      </c>
      <c r="D6" s="96" t="s">
        <v>338</v>
      </c>
      <c r="E6" s="96" t="s">
        <v>332</v>
      </c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/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339</v>
      </c>
      <c r="C7" s="96" t="s">
        <v>332</v>
      </c>
      <c r="D7" s="96" t="s">
        <v>332</v>
      </c>
      <c r="E7" s="96" t="s">
        <v>320</v>
      </c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21" thickTop="1" thickBot="1">
      <c r="A8" s="110"/>
      <c r="B8" s="111" t="s">
        <v>306</v>
      </c>
      <c r="C8" s="112" t="s">
        <v>340</v>
      </c>
      <c r="D8" s="112" t="s">
        <v>341</v>
      </c>
      <c r="E8" s="113" t="s">
        <v>271</v>
      </c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0</v>
      </c>
      <c r="N8" s="27">
        <f t="shared" ca="1" si="0"/>
        <v>-7.9607503059247943E-5</v>
      </c>
      <c r="O8" s="27">
        <f t="shared" ca="1" si="0"/>
        <v>-29.950027772633739</v>
      </c>
      <c r="P8" s="27">
        <f t="shared" ca="1" si="0"/>
        <v>-2.4211783953037243</v>
      </c>
      <c r="Q8" s="27">
        <f t="shared" ca="1" si="0"/>
        <v>-4.2561549339316313E-13</v>
      </c>
      <c r="R8" s="28">
        <f t="shared" ca="1" si="0"/>
        <v>-8.874756363025966E-15</v>
      </c>
    </row>
    <row r="9" spans="1:18" ht="14.25" thickTop="1" thickBot="1">
      <c r="A9" s="110"/>
      <c r="B9" s="115" t="str">
        <f>[0]!DistanceUnits</f>
        <v>in</v>
      </c>
      <c r="C9" s="116" t="str">
        <f>SUBSTITUTE(SUBSTITUTE("F/D", "F", ForceUnits), "D", DistanceUnits)</f>
        <v>lb/in</v>
      </c>
      <c r="D9" s="116" t="str">
        <f>SUBSTITUTE(SUBSTITUTE("F/D^2", "F", ForceUnits), "D", DistanceUnits)</f>
        <v>lb/in^2</v>
      </c>
      <c r="E9" s="117" t="str">
        <f>[0]!DistanceUnits</f>
        <v>in</v>
      </c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9.6000000000000032</v>
      </c>
      <c r="N9" s="32">
        <f t="shared" ca="1" si="1"/>
        <v>2.1684043449710089E-19</v>
      </c>
      <c r="O9" s="32">
        <f t="shared" ca="1" si="1"/>
        <v>59.950000005144027</v>
      </c>
      <c r="P9" s="32">
        <f t="shared" ca="1" si="1"/>
        <v>4.8463943310109574</v>
      </c>
      <c r="Q9" s="32">
        <f t="shared" ca="1" si="1"/>
        <v>586.80000007407398</v>
      </c>
      <c r="R9" s="33">
        <f t="shared" ca="1" si="1"/>
        <v>12.235708321995686</v>
      </c>
    </row>
    <row r="10" spans="1:18" ht="14.25" thickTop="1" thickBot="1">
      <c r="A10" s="110"/>
      <c r="B10" s="5">
        <v>0</v>
      </c>
      <c r="C10" s="6">
        <v>0</v>
      </c>
      <c r="D10" s="6">
        <f>720/L^2</f>
        <v>0.55555555555555558</v>
      </c>
      <c r="E10" s="7">
        <v>17.989999999999998</v>
      </c>
      <c r="F10" s="8">
        <v>36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9.6000000000000032</v>
      </c>
      <c r="N10" s="32">
        <f t="shared" ca="1" si="2"/>
        <v>-7.9607503059247943E-5</v>
      </c>
      <c r="O10" s="32">
        <f t="shared" ca="1" si="2"/>
        <v>59.950000005144027</v>
      </c>
      <c r="P10" s="32">
        <f t="shared" ca="1" si="2"/>
        <v>4.8463943310109574</v>
      </c>
      <c r="Q10" s="32">
        <f t="shared" ca="1" si="2"/>
        <v>586.80000007407398</v>
      </c>
      <c r="R10" s="33">
        <f t="shared" ca="1" si="2"/>
        <v>12.235708321995686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17.280000000000005</v>
      </c>
      <c r="N11" s="37">
        <f t="shared" ca="1" si="3"/>
        <v>16.560000000000006</v>
      </c>
      <c r="O11" s="37">
        <f t="shared" ca="1" si="3"/>
        <v>0</v>
      </c>
      <c r="P11" s="37">
        <f t="shared" ca="1" si="3"/>
        <v>0</v>
      </c>
      <c r="Q11" s="37">
        <f t="shared" ca="1" si="3"/>
        <v>14.400000000000002</v>
      </c>
      <c r="R11" s="38">
        <f t="shared" ca="1" si="3"/>
        <v>14.400000000000002</v>
      </c>
    </row>
    <row r="12" spans="1:18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 t="shared" ref="M12:M43" si="5">IF(AND(a&lt;=x,x&lt;=b),wm*x+wb,0)</f>
        <v>0</v>
      </c>
      <c r="N12" s="39">
        <f t="shared" ref="N12:N43" ca="1" si="6">IF(AND(0 &lt;= x, x &lt;= a), a_C2 + a_C1*x + (Ra*x^3)/(6*E*Ix), IF(AND(a &lt; x, x &lt;= b), a_C2p + a_C1p*x + ((Ra*x^3)/6 + wb*(-(a^2*x^2)/4 + (a*x^3)/6 - x^4/24) + wm*(-(a^3*x^2)/6 + (a^2*x^3)/12 - x^5/120))/(E*Ix), a_C2pp + a_C1pp*x + (Rb*((L*x^2)/2 - x^3/6))/(E*Ix)))</f>
        <v>0</v>
      </c>
      <c r="O12" s="39">
        <f t="shared" ref="O12:O43" ca="1" si="7">IF(AND(0&lt;=x,x&lt;=a),Ra,IF(AND(a&lt;x,x&lt;=b),Ra + wb*(a - x) + wm*(a^2/2 - x^2/2), -Rb))</f>
        <v>59.950000005144027</v>
      </c>
      <c r="P12" s="39">
        <f ca="1">V/A_CS</f>
        <v>4.8463943310109574</v>
      </c>
      <c r="Q12" s="39">
        <f t="shared" ref="Q12:Q43" ca="1" si="8">IF(AND(0&lt;=x,x&lt;=a),Ra*x,IF(AND(a&lt;x,x&lt;=b),Ra*x - (wb*(-a + x)^2)/2 + wm*(-(a^3/3) + (a^2*x)/2 - x^3/6), Rb*(L - x)))</f>
        <v>0</v>
      </c>
      <c r="R12" s="41">
        <f t="shared" ref="R12:R43" ca="1" si="9">Ybar*Q12/Ix</f>
        <v>0</v>
      </c>
    </row>
    <row r="13" spans="1:18">
      <c r="A13" s="45"/>
      <c r="B13" s="121"/>
      <c r="C13" s="122"/>
      <c r="D13" s="122"/>
      <c r="E13" s="122"/>
      <c r="F13" s="121"/>
      <c r="G13" s="82">
        <f>A_CS*L</f>
        <v>445.32075864635317</v>
      </c>
      <c r="H13" s="45"/>
      <c r="I13" s="83">
        <f>G13*[0]!Density</f>
        <v>33.844377657122841</v>
      </c>
      <c r="J13" s="45"/>
      <c r="K13" s="29">
        <f t="shared" ref="K13:K44" si="10">K12+0.02</f>
        <v>0.02</v>
      </c>
      <c r="L13" s="39">
        <f t="shared" si="4"/>
        <v>0.72</v>
      </c>
      <c r="M13" s="40">
        <f t="shared" si="5"/>
        <v>0.4</v>
      </c>
      <c r="N13" s="39">
        <f t="shared" ca="1" si="6"/>
        <v>-5.4085837532472481E-6</v>
      </c>
      <c r="O13" s="39">
        <f t="shared" ca="1" si="7"/>
        <v>59.806000005144028</v>
      </c>
      <c r="P13" s="39">
        <f t="shared" ref="P13:P28" ca="1" si="11">V/A_CS</f>
        <v>4.8347532837448073</v>
      </c>
      <c r="Q13" s="39">
        <f t="shared" ca="1" si="8"/>
        <v>43.129440003703699</v>
      </c>
      <c r="R13" s="41">
        <f t="shared" ca="1" si="9"/>
        <v>0.89931705506086401</v>
      </c>
    </row>
    <row r="14" spans="1:18" ht="13.5" thickBot="1">
      <c r="A14" s="45"/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10"/>
        <v>0.04</v>
      </c>
      <c r="L14" s="39">
        <f t="shared" si="4"/>
        <v>1.44</v>
      </c>
      <c r="M14" s="40">
        <f t="shared" si="5"/>
        <v>0.8</v>
      </c>
      <c r="N14" s="39">
        <f t="shared" ca="1" si="6"/>
        <v>-1.0791840377479669E-5</v>
      </c>
      <c r="O14" s="39">
        <f t="shared" ca="1" si="7"/>
        <v>59.374000005144026</v>
      </c>
      <c r="P14" s="39">
        <f t="shared" ca="1" si="11"/>
        <v>4.7998301419463569</v>
      </c>
      <c r="Q14" s="39">
        <f t="shared" ca="1" si="8"/>
        <v>86.05152000740739</v>
      </c>
      <c r="R14" s="41">
        <f t="shared" ca="1" si="9"/>
        <v>1.7943103260772002</v>
      </c>
    </row>
    <row r="15" spans="1:18" ht="14.25" thickTop="1" thickBot="1">
      <c r="A15" s="45"/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10"/>
        <v>0.06</v>
      </c>
      <c r="L15" s="39">
        <f t="shared" si="4"/>
        <v>2.16</v>
      </c>
      <c r="M15" s="40">
        <f t="shared" si="5"/>
        <v>1.2000000000000002</v>
      </c>
      <c r="N15" s="39">
        <f t="shared" ca="1" si="6"/>
        <v>-1.6124564561598124E-5</v>
      </c>
      <c r="O15" s="39">
        <f t="shared" ca="1" si="7"/>
        <v>58.654000005144027</v>
      </c>
      <c r="P15" s="39">
        <f t="shared" ca="1" si="11"/>
        <v>4.7416249056156072</v>
      </c>
      <c r="Q15" s="39">
        <f t="shared" ca="1" si="8"/>
        <v>128.55888001111111</v>
      </c>
      <c r="R15" s="41">
        <f t="shared" ca="1" si="9"/>
        <v>2.6806560290044823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10"/>
        <v>0.08</v>
      </c>
      <c r="L16" s="39">
        <f t="shared" si="4"/>
        <v>2.88</v>
      </c>
      <c r="M16" s="40">
        <f t="shared" si="5"/>
        <v>1.6</v>
      </c>
      <c r="N16" s="39">
        <f t="shared" ca="1" si="6"/>
        <v>-2.1381794630334851E-5</v>
      </c>
      <c r="O16" s="39">
        <f t="shared" ca="1" si="7"/>
        <v>57.646000005144025</v>
      </c>
      <c r="P16" s="39">
        <f t="shared" ca="1" si="11"/>
        <v>4.6601375747525564</v>
      </c>
      <c r="Q16" s="39">
        <f t="shared" ca="1" si="8"/>
        <v>170.4441600148148</v>
      </c>
      <c r="R16" s="41">
        <f t="shared" ca="1" si="9"/>
        <v>3.5540303797981809</v>
      </c>
    </row>
    <row r="17" spans="1:18">
      <c r="A17" s="107" t="s">
        <v>332</v>
      </c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10"/>
        <v>0.1</v>
      </c>
      <c r="L17" s="39">
        <f t="shared" si="4"/>
        <v>3.6</v>
      </c>
      <c r="M17" s="40">
        <f t="shared" si="5"/>
        <v>2</v>
      </c>
      <c r="N17" s="39">
        <f t="shared" ca="1" si="6"/>
        <v>-2.6538934362169164E-5</v>
      </c>
      <c r="O17" s="39">
        <f t="shared" ca="1" si="7"/>
        <v>56.350000005144025</v>
      </c>
      <c r="P17" s="39">
        <f t="shared" ca="1" si="11"/>
        <v>4.5553681493572062</v>
      </c>
      <c r="Q17" s="39">
        <f t="shared" ca="1" si="8"/>
        <v>211.50000001851851</v>
      </c>
      <c r="R17" s="41">
        <f t="shared" ca="1" si="9"/>
        <v>4.41010959441377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10"/>
        <v>0.12000000000000001</v>
      </c>
      <c r="L18" s="39">
        <f t="shared" si="4"/>
        <v>4.32</v>
      </c>
      <c r="M18" s="40">
        <f t="shared" si="5"/>
        <v>2.4000000000000004</v>
      </c>
      <c r="N18" s="39">
        <f t="shared" ca="1" si="6"/>
        <v>-3.1571874807243125E-5</v>
      </c>
      <c r="O18" s="39">
        <f t="shared" ca="1" si="7"/>
        <v>54.766000005144022</v>
      </c>
      <c r="P18" s="39">
        <f t="shared" ca="1" si="11"/>
        <v>4.427316629429555</v>
      </c>
      <c r="Q18" s="39">
        <f t="shared" ca="1" si="8"/>
        <v>251.51904002222224</v>
      </c>
      <c r="R18" s="41">
        <f t="shared" ca="1" si="9"/>
        <v>5.2445698888067218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5.0982118008315361E-4</v>
      </c>
      <c r="J19" s="45"/>
      <c r="K19" s="29">
        <f t="shared" si="10"/>
        <v>0.14000000000000001</v>
      </c>
      <c r="L19" s="39">
        <f t="shared" si="4"/>
        <v>5.0400000000000009</v>
      </c>
      <c r="M19" s="40">
        <f t="shared" si="5"/>
        <v>2.8000000000000007</v>
      </c>
      <c r="N19" s="39">
        <f t="shared" ca="1" si="6"/>
        <v>-3.6457116105277248E-5</v>
      </c>
      <c r="O19" s="39">
        <f t="shared" ca="1" si="7"/>
        <v>52.894000005144022</v>
      </c>
      <c r="P19" s="39">
        <f t="shared" ca="1" si="11"/>
        <v>4.2759830149696043</v>
      </c>
      <c r="Q19" s="39">
        <f t="shared" ca="1" si="8"/>
        <v>290.29392002592596</v>
      </c>
      <c r="R19" s="41">
        <f t="shared" ca="1" si="9"/>
        <v>6.0530874789325084</v>
      </c>
    </row>
    <row r="20" spans="1:18" ht="14.25" thickTop="1" thickBot="1">
      <c r="A20" s="45"/>
      <c r="B20" s="96" t="s">
        <v>316</v>
      </c>
      <c r="C20" s="121"/>
      <c r="D20" s="121"/>
      <c r="E20" s="121"/>
      <c r="F20" s="96" t="s">
        <v>317</v>
      </c>
      <c r="G20" s="45"/>
      <c r="H20" s="45"/>
      <c r="I20" s="45"/>
      <c r="J20" s="45"/>
      <c r="K20" s="29">
        <f t="shared" si="10"/>
        <v>0.16</v>
      </c>
      <c r="L20" s="39">
        <f t="shared" si="4"/>
        <v>5.76</v>
      </c>
      <c r="M20" s="40">
        <f t="shared" si="5"/>
        <v>3.2</v>
      </c>
      <c r="N20" s="39">
        <f t="shared" ca="1" si="6"/>
        <v>-4.1171889303486167E-5</v>
      </c>
      <c r="O20" s="39">
        <f t="shared" ca="1" si="7"/>
        <v>50.734000005144026</v>
      </c>
      <c r="P20" s="39">
        <f t="shared" ca="1" si="11"/>
        <v>4.1013673059773534</v>
      </c>
      <c r="Q20" s="39">
        <f t="shared" ca="1" si="8"/>
        <v>327.61728002962957</v>
      </c>
      <c r="R20" s="41">
        <f t="shared" ca="1" si="9"/>
        <v>6.8313385807465998</v>
      </c>
    </row>
    <row r="21" spans="1:18" ht="13.5" thickTop="1">
      <c r="A21" s="45"/>
      <c r="B21" s="97">
        <f ca="1">IF(IsValidUser, (-a + b + (a^2 - b^2)/(2*L))*wb + (-(a^2)/2 + b^2/2 + (a^3 - b^3)/(3*L))*wm,"Time To Pay")</f>
        <v>59.950000005144027</v>
      </c>
      <c r="C21" s="121"/>
      <c r="D21" s="121"/>
      <c r="E21" s="121"/>
      <c r="F21" s="97">
        <f>((-(a^2) + b^2)*wb)/(2*L) + ((-a^3 + b^3)*wm)/(3*L)</f>
        <v>29.950027772633739</v>
      </c>
      <c r="G21" s="45"/>
      <c r="H21" s="45"/>
      <c r="I21" s="80" t="s">
        <v>318</v>
      </c>
      <c r="J21" s="45"/>
      <c r="K21" s="29">
        <f t="shared" si="10"/>
        <v>0.18</v>
      </c>
      <c r="L21" s="39">
        <f t="shared" si="4"/>
        <v>6.4799999999999995</v>
      </c>
      <c r="M21" s="40">
        <f t="shared" si="5"/>
        <v>3.6</v>
      </c>
      <c r="N21" s="39">
        <f t="shared" ca="1" si="6"/>
        <v>-4.5694278174494371E-5</v>
      </c>
      <c r="O21" s="39">
        <f t="shared" ca="1" si="7"/>
        <v>48.286000005144025</v>
      </c>
      <c r="P21" s="39">
        <f t="shared" ca="1" si="11"/>
        <v>3.9034695024528028</v>
      </c>
      <c r="Q21" s="39">
        <f t="shared" ca="1" si="8"/>
        <v>363.28176003333328</v>
      </c>
      <c r="R21" s="41">
        <f t="shared" ca="1" si="9"/>
        <v>7.574999410204474</v>
      </c>
    </row>
    <row r="22" spans="1:18">
      <c r="A22" s="75"/>
      <c r="B22" s="127" t="str">
        <f>ForceUnits</f>
        <v>lb</v>
      </c>
      <c r="C22" s="121"/>
      <c r="D22" s="121"/>
      <c r="E22" s="121"/>
      <c r="F22" s="127" t="str">
        <f>ForceUnits</f>
        <v>lb</v>
      </c>
      <c r="G22" s="45"/>
      <c r="H22" s="45"/>
      <c r="I22" s="82" t="s">
        <v>296</v>
      </c>
      <c r="J22" s="45"/>
      <c r="K22" s="29">
        <f t="shared" si="10"/>
        <v>0.19999999999999998</v>
      </c>
      <c r="L22" s="39">
        <f t="shared" si="4"/>
        <v>7.1999999999999993</v>
      </c>
      <c r="M22" s="40">
        <f t="shared" si="5"/>
        <v>4</v>
      </c>
      <c r="N22" s="39">
        <f t="shared" ca="1" si="6"/>
        <v>-5.0003341034251846E-5</v>
      </c>
      <c r="O22" s="39">
        <f t="shared" ca="1" si="7"/>
        <v>45.550000005144028</v>
      </c>
      <c r="P22" s="39">
        <f t="shared" ca="1" si="11"/>
        <v>3.6822896043959519</v>
      </c>
      <c r="Q22" s="39">
        <f t="shared" ca="1" si="8"/>
        <v>397.08000003703694</v>
      </c>
      <c r="R22" s="41">
        <f t="shared" ca="1" si="9"/>
        <v>8.2797461832615991</v>
      </c>
    </row>
    <row r="23" spans="1:18">
      <c r="A23" s="45"/>
      <c r="B23" s="121"/>
      <c r="C23" s="121"/>
      <c r="D23" s="121"/>
      <c r="E23" s="121"/>
      <c r="F23" s="121"/>
      <c r="G23" s="45"/>
      <c r="H23" s="45"/>
      <c r="I23" s="86" t="s">
        <v>303</v>
      </c>
      <c r="J23" s="45"/>
      <c r="K23" s="29">
        <f t="shared" si="10"/>
        <v>0.21999999999999997</v>
      </c>
      <c r="L23" s="39">
        <f t="shared" si="4"/>
        <v>7.919999999999999</v>
      </c>
      <c r="M23" s="40">
        <f t="shared" si="5"/>
        <v>4.3999999999999995</v>
      </c>
      <c r="N23" s="39">
        <f t="shared" ca="1" si="6"/>
        <v>-5.4079232559949768E-5</v>
      </c>
      <c r="O23" s="39">
        <f t="shared" ca="1" si="7"/>
        <v>42.526000005144027</v>
      </c>
      <c r="P23" s="39">
        <f t="shared" ca="1" si="11"/>
        <v>3.4378276118068003</v>
      </c>
      <c r="Q23" s="39">
        <f t="shared" ca="1" si="8"/>
        <v>428.80464004074065</v>
      </c>
      <c r="R23" s="41">
        <f t="shared" ca="1" si="9"/>
        <v>8.9412551158734495</v>
      </c>
    </row>
    <row r="24" spans="1:18" ht="13.5" thickBot="1">
      <c r="A24" s="45"/>
      <c r="B24" s="121"/>
      <c r="C24" s="121"/>
      <c r="D24" s="121"/>
      <c r="E24" s="121"/>
      <c r="F24" s="121"/>
      <c r="G24" s="45"/>
      <c r="H24" s="45"/>
      <c r="I24" s="85">
        <f ca="1">IF(ABS(P10)/[0]!Strength &lt; 1, ABS(P10)/[0]!Strength, "FAILED.")</f>
        <v>2.0193309712545656E-4</v>
      </c>
      <c r="J24" s="45"/>
      <c r="K24" s="29">
        <f t="shared" si="10"/>
        <v>0.23999999999999996</v>
      </c>
      <c r="L24" s="39">
        <f t="shared" si="4"/>
        <v>8.6399999999999988</v>
      </c>
      <c r="M24" s="40">
        <f t="shared" si="5"/>
        <v>4.8</v>
      </c>
      <c r="N24" s="39">
        <f t="shared" ca="1" si="6"/>
        <v>-5.7903325607936241E-5</v>
      </c>
      <c r="O24" s="39">
        <f t="shared" ca="1" si="7"/>
        <v>39.21400000514403</v>
      </c>
      <c r="P24" s="39">
        <f t="shared" ca="1" si="11"/>
        <v>3.1700835246853494</v>
      </c>
      <c r="Q24" s="39">
        <f t="shared" ca="1" si="8"/>
        <v>458.24832004444437</v>
      </c>
      <c r="R24" s="41">
        <f t="shared" ca="1" si="9"/>
        <v>9.5552024239954978</v>
      </c>
    </row>
    <row r="25" spans="1:18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29">
        <f t="shared" si="10"/>
        <v>0.25999999999999995</v>
      </c>
      <c r="L25" s="39">
        <f t="shared" si="4"/>
        <v>9.3599999999999977</v>
      </c>
      <c r="M25" s="40">
        <f t="shared" si="5"/>
        <v>5.1999999999999993</v>
      </c>
      <c r="N25" s="39">
        <f t="shared" ca="1" si="6"/>
        <v>-6.1458333031631915E-5</v>
      </c>
      <c r="O25" s="39">
        <f t="shared" ca="1" si="7"/>
        <v>35.614000005144035</v>
      </c>
      <c r="P25" s="39">
        <f t="shared" ca="1" si="11"/>
        <v>2.8790573430315982</v>
      </c>
      <c r="Q25" s="39">
        <f t="shared" ca="1" si="8"/>
        <v>485.20368004814793</v>
      </c>
      <c r="R25" s="41">
        <f t="shared" ca="1" si="9"/>
        <v>10.117264323583212</v>
      </c>
    </row>
    <row r="26" spans="1:18" ht="13.5" thickTop="1">
      <c r="A26" s="80" t="s">
        <v>320</v>
      </c>
      <c r="B26" s="121"/>
      <c r="C26" s="121"/>
      <c r="D26" s="121"/>
      <c r="E26" s="121"/>
      <c r="F26" s="121"/>
      <c r="G26" s="88" t="s">
        <v>320</v>
      </c>
      <c r="H26" s="45"/>
      <c r="I26" s="89" t="s">
        <v>321</v>
      </c>
      <c r="J26" s="87"/>
      <c r="K26" s="29">
        <f t="shared" si="10"/>
        <v>0.27999999999999997</v>
      </c>
      <c r="L26" s="39">
        <f t="shared" si="4"/>
        <v>10.079999999999998</v>
      </c>
      <c r="M26" s="40">
        <f t="shared" si="5"/>
        <v>5.6</v>
      </c>
      <c r="N26" s="39">
        <f t="shared" ca="1" si="6"/>
        <v>-6.4728429499445755E-5</v>
      </c>
      <c r="O26" s="39">
        <f t="shared" ca="1" si="7"/>
        <v>31.726000005144034</v>
      </c>
      <c r="P26" s="39">
        <f t="shared" ca="1" si="11"/>
        <v>2.5647490668455464</v>
      </c>
      <c r="Q26" s="39">
        <f t="shared" ca="1" si="8"/>
        <v>509.46336005185174</v>
      </c>
      <c r="R26" s="41">
        <f t="shared" ca="1" si="9"/>
        <v>10.623117030592075</v>
      </c>
    </row>
    <row r="27" spans="1:18">
      <c r="A27" s="93" t="s">
        <v>322</v>
      </c>
      <c r="B27" s="121"/>
      <c r="C27" s="121"/>
      <c r="D27" s="121"/>
      <c r="E27" s="121"/>
      <c r="F27" s="121"/>
      <c r="G27" s="90" t="s">
        <v>322</v>
      </c>
      <c r="H27" s="45"/>
      <c r="I27" s="91" t="s">
        <v>295</v>
      </c>
      <c r="J27" s="87"/>
      <c r="K27" s="29">
        <f t="shared" si="10"/>
        <v>0.3</v>
      </c>
      <c r="L27" s="39">
        <f t="shared" si="4"/>
        <v>10.799999999999999</v>
      </c>
      <c r="M27" s="40">
        <f t="shared" si="5"/>
        <v>6</v>
      </c>
      <c r="N27" s="39">
        <f t="shared" ca="1" si="6"/>
        <v>-6.7699373312690619E-5</v>
      </c>
      <c r="O27" s="39">
        <f t="shared" ca="1" si="7"/>
        <v>27.550000005144035</v>
      </c>
      <c r="P27" s="39">
        <f t="shared" ca="1" si="11"/>
        <v>2.2271586961271947</v>
      </c>
      <c r="Q27" s="39">
        <f t="shared" ca="1" si="8"/>
        <v>530.8200000555554</v>
      </c>
      <c r="R27" s="41">
        <f t="shared" ca="1" si="9"/>
        <v>11.06843676097755</v>
      </c>
    </row>
    <row r="28" spans="1:18">
      <c r="A28" s="82">
        <f ca="1">DEGREES(a_C1)</f>
        <v>-4.3073765434138473E-4</v>
      </c>
      <c r="B28" s="121"/>
      <c r="C28" s="121"/>
      <c r="D28" s="121"/>
      <c r="E28" s="121"/>
      <c r="F28" s="121"/>
      <c r="G28" s="82">
        <f ca="1">(180/PI())*(a_C1pp + (L^2*Rb)/(2*E*Ix))</f>
        <v>3.5710740009744525E-4</v>
      </c>
      <c r="H28" s="45"/>
      <c r="I28" s="91">
        <f ca="1">N10</f>
        <v>-7.9607503059247943E-5</v>
      </c>
      <c r="J28" s="87"/>
      <c r="K28" s="29">
        <f t="shared" si="10"/>
        <v>0.32</v>
      </c>
      <c r="L28" s="39">
        <f t="shared" si="4"/>
        <v>11.52</v>
      </c>
      <c r="M28" s="40">
        <f t="shared" si="5"/>
        <v>6.4</v>
      </c>
      <c r="N28" s="39">
        <f t="shared" ca="1" si="6"/>
        <v>-7.035862822349908E-5</v>
      </c>
      <c r="O28" s="39">
        <f t="shared" ca="1" si="7"/>
        <v>23.08600000514403</v>
      </c>
      <c r="P28" s="39">
        <f t="shared" ca="1" si="11"/>
        <v>1.8662862308765427</v>
      </c>
      <c r="Q28" s="39">
        <f t="shared" ca="1" si="8"/>
        <v>549.06624005925914</v>
      </c>
      <c r="R28" s="41">
        <f t="shared" ca="1" si="9"/>
        <v>11.448899730695112</v>
      </c>
    </row>
    <row r="29" spans="1:18" ht="13.5" thickBot="1">
      <c r="A29" s="84" t="s">
        <v>323</v>
      </c>
      <c r="B29" s="121"/>
      <c r="C29" s="121"/>
      <c r="D29" s="121"/>
      <c r="E29" s="121"/>
      <c r="F29" s="121"/>
      <c r="G29" s="84" t="s">
        <v>323</v>
      </c>
      <c r="H29" s="45"/>
      <c r="I29" s="92" t="str">
        <f>DistanceUnits</f>
        <v>in</v>
      </c>
      <c r="J29" s="87"/>
      <c r="K29" s="29">
        <f t="shared" si="10"/>
        <v>0.34</v>
      </c>
      <c r="L29" s="39">
        <f t="shared" si="4"/>
        <v>12.24</v>
      </c>
      <c r="M29" s="40">
        <f t="shared" si="5"/>
        <v>6.8000000000000007</v>
      </c>
      <c r="N29" s="39">
        <f t="shared" ca="1" si="6"/>
        <v>-7.2695485252739027E-5</v>
      </c>
      <c r="O29" s="39">
        <f t="shared" ca="1" si="7"/>
        <v>18.334000005144027</v>
      </c>
      <c r="P29" s="39">
        <f t="shared" ref="P29:P44" ca="1" si="12">V/A_CS</f>
        <v>1.4821316710935906</v>
      </c>
      <c r="Q29" s="39">
        <f t="shared" ca="1" si="8"/>
        <v>563.99472006296287</v>
      </c>
      <c r="R29" s="41">
        <f t="shared" ca="1" si="9"/>
        <v>11.760182155700235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10"/>
        <v>0.36000000000000004</v>
      </c>
      <c r="L30" s="39">
        <f t="shared" si="4"/>
        <v>12.96</v>
      </c>
      <c r="M30" s="40">
        <f t="shared" si="5"/>
        <v>7.2000000000000011</v>
      </c>
      <c r="N30" s="39">
        <f t="shared" ca="1" si="6"/>
        <v>-7.4701184507929363E-5</v>
      </c>
      <c r="O30" s="39">
        <f t="shared" ca="1" si="7"/>
        <v>13.294000005144014</v>
      </c>
      <c r="P30" s="39">
        <f t="shared" ca="1" si="12"/>
        <v>1.0746950167783373</v>
      </c>
      <c r="Q30" s="39">
        <f t="shared" ca="1" si="8"/>
        <v>575.39808006666658</v>
      </c>
      <c r="R30" s="41">
        <f t="shared" ca="1" si="9"/>
        <v>11.99796025194839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10"/>
        <v>0.38000000000000006</v>
      </c>
      <c r="L31" s="39">
        <f t="shared" si="4"/>
        <v>13.680000000000001</v>
      </c>
      <c r="M31" s="40">
        <f t="shared" si="5"/>
        <v>7.6000000000000014</v>
      </c>
      <c r="N31" s="39">
        <f t="shared" ca="1" si="6"/>
        <v>-7.6369037001155734E-5</v>
      </c>
      <c r="O31" s="39">
        <f t="shared" ca="1" si="7"/>
        <v>7.9660000051440107</v>
      </c>
      <c r="P31" s="39">
        <f t="shared" ca="1" si="12"/>
        <v>0.643976267930785</v>
      </c>
      <c r="Q31" s="39">
        <f t="shared" ca="1" si="8"/>
        <v>583.06896007037017</v>
      </c>
      <c r="R31" s="41">
        <f t="shared" ca="1" si="9"/>
        <v>12.157910235395047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10"/>
        <v>0.40000000000000008</v>
      </c>
      <c r="L32" s="39">
        <f t="shared" si="4"/>
        <v>14.400000000000002</v>
      </c>
      <c r="M32" s="40">
        <f t="shared" si="5"/>
        <v>8.0000000000000018</v>
      </c>
      <c r="N32" s="39">
        <f t="shared" ca="1" si="6"/>
        <v>-7.7694546466986169E-5</v>
      </c>
      <c r="O32" s="39">
        <f t="shared" ca="1" si="7"/>
        <v>2.350000005144004</v>
      </c>
      <c r="P32" s="39">
        <f t="shared" ca="1" si="12"/>
        <v>0.18997542455093216</v>
      </c>
      <c r="Q32" s="39">
        <f t="shared" ca="1" si="8"/>
        <v>586.80000007407398</v>
      </c>
      <c r="R32" s="41">
        <f t="shared" ca="1" si="9"/>
        <v>12.235708321995686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59.950000005144027</v>
      </c>
      <c r="J33" s="87"/>
      <c r="K33" s="29">
        <f t="shared" si="10"/>
        <v>0.4200000000000001</v>
      </c>
      <c r="L33" s="39">
        <f t="shared" si="4"/>
        <v>15.120000000000003</v>
      </c>
      <c r="M33" s="40">
        <f t="shared" si="5"/>
        <v>8.4000000000000021</v>
      </c>
      <c r="N33" s="39">
        <f t="shared" ca="1" si="6"/>
        <v>-7.8675531180386841E-5</v>
      </c>
      <c r="O33" s="39">
        <f t="shared" ca="1" si="7"/>
        <v>-3.5539999948559995</v>
      </c>
      <c r="P33" s="39">
        <f t="shared" ca="1" si="12"/>
        <v>-0.28730751336122051</v>
      </c>
      <c r="Q33" s="39">
        <f t="shared" ca="1" si="8"/>
        <v>586.38384007777768</v>
      </c>
      <c r="R33" s="41">
        <f t="shared" ca="1" si="9"/>
        <v>12.22703072770577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10"/>
        <v>0.44000000000000011</v>
      </c>
      <c r="L34" s="39">
        <f t="shared" si="4"/>
        <v>15.840000000000003</v>
      </c>
      <c r="M34" s="40">
        <f t="shared" si="5"/>
        <v>8.8000000000000025</v>
      </c>
      <c r="N34" s="39">
        <f t="shared" ca="1" si="6"/>
        <v>-7.931224577463761E-5</v>
      </c>
      <c r="O34" s="39">
        <f t="shared" ca="1" si="7"/>
        <v>-9.7459999948559997</v>
      </c>
      <c r="P34" s="39">
        <f t="shared" ca="1" si="12"/>
        <v>-0.78787254580567301</v>
      </c>
      <c r="Q34" s="39">
        <f t="shared" ca="1" si="8"/>
        <v>581.61312008148138</v>
      </c>
      <c r="R34" s="41">
        <f t="shared" ca="1" si="9"/>
        <v>12.127553668480779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10"/>
        <v>0.46000000000000013</v>
      </c>
      <c r="L35" s="39">
        <f t="shared" si="4"/>
        <v>16.560000000000006</v>
      </c>
      <c r="M35" s="40">
        <f t="shared" si="5"/>
        <v>9.2000000000000028</v>
      </c>
      <c r="N35" s="39">
        <f t="shared" ca="1" si="6"/>
        <v>-7.9607503059247943E-5</v>
      </c>
      <c r="O35" s="39">
        <f t="shared" ca="1" si="7"/>
        <v>-16.225999994856032</v>
      </c>
      <c r="P35" s="39">
        <f t="shared" ca="1" si="12"/>
        <v>-1.3117196727824283</v>
      </c>
      <c r="Q35" s="39">
        <f t="shared" ca="1" si="8"/>
        <v>572.28048008518499</v>
      </c>
      <c r="R35" s="41">
        <f t="shared" ca="1" si="9"/>
        <v>11.93295336027618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10"/>
        <v>0.48000000000000015</v>
      </c>
      <c r="L36" s="39">
        <f t="shared" si="4"/>
        <v>17.280000000000005</v>
      </c>
      <c r="M36" s="40">
        <f t="shared" si="5"/>
        <v>9.6000000000000032</v>
      </c>
      <c r="N36" s="39">
        <f t="shared" ca="1" si="6"/>
        <v>-7.9566795837872372E-5</v>
      </c>
      <c r="O36" s="39">
        <f t="shared" ca="1" si="7"/>
        <v>-22.993999994856019</v>
      </c>
      <c r="P36" s="39">
        <f t="shared" ca="1" si="12"/>
        <v>-1.85884889429148</v>
      </c>
      <c r="Q36" s="39">
        <f t="shared" ca="1" si="8"/>
        <v>558.17856008888884</v>
      </c>
      <c r="R36" s="41">
        <f t="shared" ca="1" si="9"/>
        <v>11.638906019047454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10"/>
        <v>0.50000000000000011</v>
      </c>
      <c r="L37" s="39">
        <f t="shared" si="4"/>
        <v>18.000000000000004</v>
      </c>
      <c r="M37" s="40">
        <f t="shared" si="5"/>
        <v>0</v>
      </c>
      <c r="N37" s="39">
        <f t="shared" ca="1" si="6"/>
        <v>-7.9198418726221553E-5</v>
      </c>
      <c r="O37" s="39">
        <f t="shared" si="7"/>
        <v>-29.950027772633739</v>
      </c>
      <c r="P37" s="39">
        <f t="shared" si="12"/>
        <v>-2.4211783953037243</v>
      </c>
      <c r="Q37" s="39">
        <f t="shared" si="8"/>
        <v>539.1004999074072</v>
      </c>
      <c r="R37" s="41">
        <f t="shared" si="9"/>
        <v>11.241098282679658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-29.950027772633739</v>
      </c>
      <c r="J38" s="87"/>
      <c r="K38" s="29">
        <f t="shared" si="10"/>
        <v>0.52000000000000013</v>
      </c>
      <c r="L38" s="39">
        <f t="shared" si="4"/>
        <v>18.720000000000006</v>
      </c>
      <c r="M38" s="40">
        <f t="shared" si="5"/>
        <v>0</v>
      </c>
      <c r="N38" s="39">
        <f t="shared" ca="1" si="6"/>
        <v>-7.8513454865323249E-5</v>
      </c>
      <c r="O38" s="39">
        <f t="shared" si="7"/>
        <v>-29.950027772633739</v>
      </c>
      <c r="P38" s="39">
        <f t="shared" si="12"/>
        <v>-2.4211783953037243</v>
      </c>
      <c r="Q38" s="39">
        <f t="shared" si="8"/>
        <v>517.53647991111086</v>
      </c>
      <c r="R38" s="41">
        <f t="shared" si="9"/>
        <v>10.791454351372471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10"/>
        <v>0.54000000000000015</v>
      </c>
      <c r="L39" s="39">
        <f t="shared" si="4"/>
        <v>19.440000000000005</v>
      </c>
      <c r="M39" s="40">
        <f t="shared" si="5"/>
        <v>0</v>
      </c>
      <c r="N39" s="39">
        <f t="shared" ca="1" si="6"/>
        <v>-7.7524453507916698E-5</v>
      </c>
      <c r="O39" s="39">
        <f t="shared" si="7"/>
        <v>-29.950027772633739</v>
      </c>
      <c r="P39" s="39">
        <f t="shared" si="12"/>
        <v>-2.4211783953037243</v>
      </c>
      <c r="Q39" s="39">
        <f t="shared" si="8"/>
        <v>495.97245991481458</v>
      </c>
      <c r="R39" s="41">
        <f t="shared" si="9"/>
        <v>10.341810420065285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10"/>
        <v>0.56000000000000016</v>
      </c>
      <c r="L40" s="39">
        <f t="shared" si="4"/>
        <v>20.160000000000007</v>
      </c>
      <c r="M40" s="40">
        <f t="shared" si="5"/>
        <v>0</v>
      </c>
      <c r="N40" s="39">
        <f t="shared" ca="1" si="6"/>
        <v>-7.6244082883023114E-5</v>
      </c>
      <c r="O40" s="39">
        <f t="shared" si="7"/>
        <v>-29.950027772633739</v>
      </c>
      <c r="P40" s="39">
        <f t="shared" si="12"/>
        <v>-2.4211783953037243</v>
      </c>
      <c r="Q40" s="39">
        <f t="shared" si="8"/>
        <v>474.40843991851818</v>
      </c>
      <c r="R40" s="41">
        <f t="shared" si="9"/>
        <v>9.8921664887580967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10"/>
        <v>0.58000000000000018</v>
      </c>
      <c r="L41" s="39">
        <f t="shared" si="4"/>
        <v>20.880000000000006</v>
      </c>
      <c r="M41" s="40">
        <f t="shared" si="5"/>
        <v>0</v>
      </c>
      <c r="N41" s="39">
        <f t="shared" ca="1" si="6"/>
        <v>-7.468501121966366E-5</v>
      </c>
      <c r="O41" s="39">
        <f t="shared" si="7"/>
        <v>-29.950027772633739</v>
      </c>
      <c r="P41" s="39">
        <f t="shared" si="12"/>
        <v>-2.4211783953037243</v>
      </c>
      <c r="Q41" s="39">
        <f t="shared" si="8"/>
        <v>452.84441992222196</v>
      </c>
      <c r="R41" s="41">
        <f t="shared" si="9"/>
        <v>9.4425225574509106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10"/>
        <v>0.6000000000000002</v>
      </c>
      <c r="L42" s="39">
        <f t="shared" si="4"/>
        <v>21.600000000000009</v>
      </c>
      <c r="M42" s="40">
        <f t="shared" si="5"/>
        <v>0</v>
      </c>
      <c r="N42" s="39">
        <f t="shared" ca="1" si="6"/>
        <v>-7.2859906746859524E-5</v>
      </c>
      <c r="O42" s="39">
        <f t="shared" si="7"/>
        <v>-29.950027772633739</v>
      </c>
      <c r="P42" s="39">
        <f t="shared" si="12"/>
        <v>-2.4211783953037243</v>
      </c>
      <c r="Q42" s="39">
        <f t="shared" si="8"/>
        <v>431.28039992592556</v>
      </c>
      <c r="R42" s="41">
        <f t="shared" si="9"/>
        <v>8.9928786261437228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586.80000007407398</v>
      </c>
      <c r="J43" s="87"/>
      <c r="K43" s="29">
        <f t="shared" si="10"/>
        <v>0.62000000000000022</v>
      </c>
      <c r="L43" s="39">
        <f t="shared" si="4"/>
        <v>22.320000000000007</v>
      </c>
      <c r="M43" s="40">
        <f t="shared" si="5"/>
        <v>0</v>
      </c>
      <c r="N43" s="39">
        <f t="shared" ca="1" si="6"/>
        <v>-7.0781437693631785E-5</v>
      </c>
      <c r="O43" s="39">
        <f t="shared" si="7"/>
        <v>-29.950027772633739</v>
      </c>
      <c r="P43" s="39">
        <f t="shared" si="12"/>
        <v>-2.4211783953037243</v>
      </c>
      <c r="Q43" s="39">
        <f t="shared" si="8"/>
        <v>409.71637992962934</v>
      </c>
      <c r="R43" s="41">
        <f t="shared" si="9"/>
        <v>8.5432346948365367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10"/>
        <v>0.64000000000000024</v>
      </c>
      <c r="L44" s="39">
        <f t="shared" ref="L44:L62" si="13">L*K44</f>
        <v>23.04000000000001</v>
      </c>
      <c r="M44" s="40">
        <f t="shared" ref="M44:M62" si="14">IF(AND(a&lt;=x,x&lt;=b),wm*x+wb,0)</f>
        <v>0</v>
      </c>
      <c r="N44" s="39">
        <f t="shared" ref="N44:N62" ca="1" si="15">IF(AND(0 &lt;= x, x &lt;= a), a_C2 + a_C1*x + (Ra*x^3)/(6*E*Ix), IF(AND(a &lt; x, x &lt;= b), a_C2p + a_C1p*x + ((Ra*x^3)/6 + wb*(-(a^2*x^2)/4 + (a*x^3)/6 - x^4/24) + wm*(-(a^3*x^2)/6 + (a^2*x^3)/12 - x^5/120))/(E*Ix), a_C2pp + a_C1pp*x + (Rb*((L*x^2)/2 - x^3/6))/(E*Ix)))</f>
        <v>-6.8462272289001713E-5</v>
      </c>
      <c r="O44" s="39">
        <f t="shared" ref="O44:O62" si="16">IF(AND(0&lt;=x,x&lt;=a),Ra,IF(AND(a&lt;x,x&lt;=b),Ra + wb*(a - x) + wm*(a^2/2 - x^2/2), -Rb))</f>
        <v>-29.950027772633739</v>
      </c>
      <c r="P44" s="39">
        <f t="shared" si="12"/>
        <v>-2.4211783953037243</v>
      </c>
      <c r="Q44" s="39">
        <f t="shared" ref="Q44:Q62" si="17">IF(AND(0&lt;=x,x&lt;=a),Ra*x,IF(AND(a&lt;x,x&lt;=b),Ra*x - (wb*(-a + x)^2)/2 + wm*(-(a^3/3) + (a^2*x)/2 - x^3/6), Rb*(L - x)))</f>
        <v>388.15235993333295</v>
      </c>
      <c r="R44" s="41">
        <f t="shared" ref="R44:R62" si="18">Ybar*Q44/Ix</f>
        <v>8.0935907635293489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9">K44+0.02</f>
        <v>0.66000000000000025</v>
      </c>
      <c r="L45" s="39">
        <f t="shared" si="13"/>
        <v>23.760000000000009</v>
      </c>
      <c r="M45" s="40">
        <f t="shared" si="14"/>
        <v>0</v>
      </c>
      <c r="N45" s="39">
        <f t="shared" ca="1" si="15"/>
        <v>-6.5915078761990468E-5</v>
      </c>
      <c r="O45" s="39">
        <f t="shared" si="16"/>
        <v>-29.950027772633739</v>
      </c>
      <c r="P45" s="39">
        <f t="shared" ref="P45:P60" si="20">V/A_CS</f>
        <v>-2.4211783953037243</v>
      </c>
      <c r="Q45" s="39">
        <f t="shared" si="17"/>
        <v>366.58833993703672</v>
      </c>
      <c r="R45" s="41">
        <f t="shared" si="18"/>
        <v>7.6439468322221638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9"/>
        <v>0.68000000000000027</v>
      </c>
      <c r="L46" s="39">
        <f t="shared" si="13"/>
        <v>24.480000000000011</v>
      </c>
      <c r="M46" s="40">
        <f t="shared" si="14"/>
        <v>0</v>
      </c>
      <c r="N46" s="39">
        <f t="shared" ca="1" si="15"/>
        <v>-6.3152525341619295E-5</v>
      </c>
      <c r="O46" s="39">
        <f t="shared" si="16"/>
        <v>-29.950027772633739</v>
      </c>
      <c r="P46" s="39">
        <f t="shared" si="20"/>
        <v>-2.4211783953037243</v>
      </c>
      <c r="Q46" s="39">
        <f t="shared" si="17"/>
        <v>345.02431994074033</v>
      </c>
      <c r="R46" s="41">
        <f t="shared" si="18"/>
        <v>7.194302900914975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9"/>
        <v>0.70000000000000029</v>
      </c>
      <c r="L47" s="39">
        <f t="shared" si="13"/>
        <v>25.20000000000001</v>
      </c>
      <c r="M47" s="40">
        <f t="shared" si="14"/>
        <v>0</v>
      </c>
      <c r="N47" s="39">
        <f t="shared" ca="1" si="15"/>
        <v>-6.0187280256909217E-5</v>
      </c>
      <c r="O47" s="39">
        <f t="shared" si="16"/>
        <v>-29.950027772633739</v>
      </c>
      <c r="P47" s="39">
        <f t="shared" si="20"/>
        <v>-2.4211783953037243</v>
      </c>
      <c r="Q47" s="39">
        <f t="shared" si="17"/>
        <v>323.4602999444441</v>
      </c>
      <c r="R47" s="41">
        <f t="shared" si="18"/>
        <v>6.7446589696077908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-4.2561549339316313E-13</v>
      </c>
      <c r="J48" s="87"/>
      <c r="K48" s="29">
        <f t="shared" si="19"/>
        <v>0.72000000000000031</v>
      </c>
      <c r="L48" s="39">
        <f t="shared" si="13"/>
        <v>25.920000000000012</v>
      </c>
      <c r="M48" s="40">
        <f t="shared" si="14"/>
        <v>0</v>
      </c>
      <c r="N48" s="39">
        <f t="shared" ca="1" si="15"/>
        <v>-5.7032011736881532E-5</v>
      </c>
      <c r="O48" s="39">
        <f t="shared" si="16"/>
        <v>-29.950027772633739</v>
      </c>
      <c r="P48" s="39">
        <f t="shared" si="20"/>
        <v>-2.4211783953037243</v>
      </c>
      <c r="Q48" s="39">
        <f t="shared" si="17"/>
        <v>301.89627994814771</v>
      </c>
      <c r="R48" s="41">
        <f t="shared" si="18"/>
        <v>6.2950150383006021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9"/>
        <v>0.74000000000000032</v>
      </c>
      <c r="L49" s="39">
        <f t="shared" si="13"/>
        <v>26.640000000000011</v>
      </c>
      <c r="M49" s="40">
        <f t="shared" si="14"/>
        <v>0</v>
      </c>
      <c r="N49" s="39">
        <f t="shared" ca="1" si="15"/>
        <v>-5.3699388010557429E-5</v>
      </c>
      <c r="O49" s="39">
        <f t="shared" si="16"/>
        <v>-29.950027772633739</v>
      </c>
      <c r="P49" s="39">
        <f t="shared" si="20"/>
        <v>-2.4211783953037243</v>
      </c>
      <c r="Q49" s="39">
        <f t="shared" si="17"/>
        <v>280.33225995185148</v>
      </c>
      <c r="R49" s="41">
        <f t="shared" si="18"/>
        <v>5.8453711069934169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9"/>
        <v>0.76000000000000034</v>
      </c>
      <c r="L50" s="39">
        <f t="shared" si="13"/>
        <v>27.360000000000014</v>
      </c>
      <c r="M50" s="40">
        <f t="shared" si="14"/>
        <v>0</v>
      </c>
      <c r="N50" s="39">
        <f t="shared" ca="1" si="15"/>
        <v>-5.0202077306957878E-5</v>
      </c>
      <c r="O50" s="39">
        <f t="shared" si="16"/>
        <v>-29.950027772633739</v>
      </c>
      <c r="P50" s="39">
        <f t="shared" si="20"/>
        <v>-2.4211783953037243</v>
      </c>
      <c r="Q50" s="39">
        <f t="shared" si="17"/>
        <v>258.76823995555509</v>
      </c>
      <c r="R50" s="41">
        <f t="shared" si="18"/>
        <v>5.3957271756862282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9"/>
        <v>0.78000000000000036</v>
      </c>
      <c r="L51" s="39">
        <f t="shared" si="13"/>
        <v>28.080000000000013</v>
      </c>
      <c r="M51" s="40">
        <f t="shared" si="14"/>
        <v>0</v>
      </c>
      <c r="N51" s="39">
        <f t="shared" ca="1" si="15"/>
        <v>-4.6552747855104339E-5</v>
      </c>
      <c r="O51" s="39">
        <f t="shared" si="16"/>
        <v>-29.950027772633739</v>
      </c>
      <c r="P51" s="39">
        <f t="shared" si="20"/>
        <v>-2.4211783953037243</v>
      </c>
      <c r="Q51" s="39">
        <f t="shared" si="17"/>
        <v>237.20421995925884</v>
      </c>
      <c r="R51" s="41">
        <f t="shared" si="18"/>
        <v>4.946083244379043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9"/>
        <v>0.80000000000000038</v>
      </c>
      <c r="L52" s="39">
        <f t="shared" si="13"/>
        <v>28.800000000000015</v>
      </c>
      <c r="M52" s="40">
        <f t="shared" si="14"/>
        <v>0</v>
      </c>
      <c r="N52" s="39">
        <f t="shared" ca="1" si="15"/>
        <v>-4.2764067884017783E-5</v>
      </c>
      <c r="O52" s="39">
        <f t="shared" si="16"/>
        <v>-29.950027772633739</v>
      </c>
      <c r="P52" s="39">
        <f t="shared" si="20"/>
        <v>-2.4211783953037243</v>
      </c>
      <c r="Q52" s="39">
        <f t="shared" si="17"/>
        <v>215.64019996296247</v>
      </c>
      <c r="R52" s="41">
        <f t="shared" si="18"/>
        <v>4.4964393130718543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9"/>
        <v>0.8200000000000004</v>
      </c>
      <c r="L53" s="39">
        <f t="shared" si="13"/>
        <v>29.520000000000014</v>
      </c>
      <c r="M53" s="40">
        <f t="shared" si="14"/>
        <v>0</v>
      </c>
      <c r="N53" s="39">
        <f t="shared" ca="1" si="15"/>
        <v>-3.8848705622719561E-5</v>
      </c>
      <c r="O53" s="39">
        <f t="shared" si="16"/>
        <v>-29.950027772633739</v>
      </c>
      <c r="P53" s="39">
        <f t="shared" si="20"/>
        <v>-2.4211783953037243</v>
      </c>
      <c r="Q53" s="39">
        <f t="shared" si="17"/>
        <v>194.07617996666622</v>
      </c>
      <c r="R53" s="41">
        <f t="shared" si="18"/>
        <v>4.0467953817646691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9"/>
        <v>0.84000000000000041</v>
      </c>
      <c r="L54" s="39">
        <f t="shared" si="13"/>
        <v>30.240000000000016</v>
      </c>
      <c r="M54" s="40">
        <f t="shared" si="14"/>
        <v>0</v>
      </c>
      <c r="N54" s="39">
        <f t="shared" ca="1" si="15"/>
        <v>-3.4819329300230645E-5</v>
      </c>
      <c r="O54" s="39">
        <f t="shared" si="16"/>
        <v>-29.950027772633739</v>
      </c>
      <c r="P54" s="39">
        <f t="shared" si="20"/>
        <v>-2.4211783953037243</v>
      </c>
      <c r="Q54" s="39">
        <f t="shared" si="17"/>
        <v>172.51215997036985</v>
      </c>
      <c r="R54" s="41">
        <f t="shared" si="18"/>
        <v>3.5971514504574813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9"/>
        <v>0.86000000000000043</v>
      </c>
      <c r="L55" s="39">
        <f t="shared" si="13"/>
        <v>30.960000000000015</v>
      </c>
      <c r="M55" s="40">
        <f t="shared" si="14"/>
        <v>0</v>
      </c>
      <c r="N55" s="39">
        <f t="shared" ca="1" si="15"/>
        <v>-3.068860714557244E-5</v>
      </c>
      <c r="O55" s="39">
        <f t="shared" si="16"/>
        <v>-29.950027772633739</v>
      </c>
      <c r="P55" s="39">
        <f t="shared" si="20"/>
        <v>-2.4211783953037243</v>
      </c>
      <c r="Q55" s="39">
        <f t="shared" si="17"/>
        <v>150.9481399740736</v>
      </c>
      <c r="R55" s="41">
        <f t="shared" si="18"/>
        <v>3.1475075191502957</v>
      </c>
    </row>
    <row r="56" spans="1:18">
      <c r="A56" s="45"/>
      <c r="B56" s="45"/>
      <c r="C56" s="45"/>
      <c r="D56" s="129" t="s">
        <v>326</v>
      </c>
      <c r="E56" s="130">
        <f ca="1">((-(b^2)/2 + b^3/(3*L))*Ra + ((b - L)^3*Rb)/(3*L) +  ((-a+ b)^3*(-a - 3*b + 4*L)*wb)/(24*L) +  ((-a + b)^3*(-4*a^2 - 12*a*b - 4*b^2 + 15*a*L + 5*b*L)*wm)  /(120*L))/(E*Ix)</f>
        <v>-7.5177902805744109E-6</v>
      </c>
      <c r="F56" s="45"/>
      <c r="G56" s="45"/>
      <c r="H56" s="45"/>
      <c r="I56" s="45"/>
      <c r="J56" s="87"/>
      <c r="K56" s="29">
        <f t="shared" si="19"/>
        <v>0.88000000000000045</v>
      </c>
      <c r="L56" s="39">
        <f t="shared" si="13"/>
        <v>31.680000000000017</v>
      </c>
      <c r="M56" s="40">
        <f t="shared" si="14"/>
        <v>0</v>
      </c>
      <c r="N56" s="39">
        <f t="shared" ca="1" si="15"/>
        <v>-2.6469207387765971E-5</v>
      </c>
      <c r="O56" s="39">
        <f t="shared" si="16"/>
        <v>-29.950027772633739</v>
      </c>
      <c r="P56" s="39">
        <f t="shared" si="20"/>
        <v>-2.4211783953037243</v>
      </c>
      <c r="Q56" s="39">
        <f t="shared" si="17"/>
        <v>129.38411997777723</v>
      </c>
      <c r="R56" s="41">
        <f t="shared" si="18"/>
        <v>2.6978635878431074</v>
      </c>
    </row>
    <row r="57" spans="1:18">
      <c r="A57" s="45"/>
      <c r="B57" s="45"/>
      <c r="C57" s="45"/>
      <c r="D57" s="129" t="s">
        <v>327</v>
      </c>
      <c r="E57" s="130">
        <f xml:space="preserve"> 0</f>
        <v>0</v>
      </c>
      <c r="F57" s="45"/>
      <c r="G57" s="45"/>
      <c r="H57" s="45"/>
      <c r="I57" s="45"/>
      <c r="J57" s="87"/>
      <c r="K57" s="29">
        <f t="shared" si="19"/>
        <v>0.90000000000000047</v>
      </c>
      <c r="L57" s="39">
        <f t="shared" si="13"/>
        <v>32.40000000000002</v>
      </c>
      <c r="M57" s="40">
        <f t="shared" si="14"/>
        <v>0</v>
      </c>
      <c r="N57" s="39">
        <f t="shared" ca="1" si="15"/>
        <v>-2.2173798255832264E-5</v>
      </c>
      <c r="O57" s="39">
        <f t="shared" si="16"/>
        <v>-29.950027772633739</v>
      </c>
      <c r="P57" s="39">
        <f t="shared" si="20"/>
        <v>-2.4211783953037243</v>
      </c>
      <c r="Q57" s="39">
        <f t="shared" si="17"/>
        <v>107.82009998148087</v>
      </c>
      <c r="R57" s="41">
        <f t="shared" si="18"/>
        <v>2.2482196565359196</v>
      </c>
    </row>
    <row r="58" spans="1:18">
      <c r="A58" s="45"/>
      <c r="B58" s="45"/>
      <c r="C58" s="45"/>
      <c r="D58" s="129" t="s">
        <v>328</v>
      </c>
      <c r="E58" s="130">
        <f ca="1">((-(b^2)/2 + b^3/(3*L))*Ra + ((b - L)^3*Rb)/(3*L) +  ((a^4 - 6*a^2*b^2 + 8*a*b^3 - 3*b^4 + 12*a^2*b*L - 12*a*b^2*L +  4*b^3*L)*wb)/(24*L) + ((4*a^5 - 20*a^3*b^2 + 20*a^2*b^3 - 4*b^5  + 40*a^3*b*L - 30*a^2*b^2*L + 5*b^4*L)*wm)/(120*L))/(E*Ix)</f>
        <v>-7.5177902805744109E-6</v>
      </c>
      <c r="F58" s="45"/>
      <c r="G58" s="45"/>
      <c r="H58" s="45"/>
      <c r="I58" s="45"/>
      <c r="J58" s="87"/>
      <c r="K58" s="29">
        <f t="shared" si="19"/>
        <v>0.92000000000000048</v>
      </c>
      <c r="L58" s="39">
        <f t="shared" si="13"/>
        <v>33.120000000000019</v>
      </c>
      <c r="M58" s="40">
        <f t="shared" si="14"/>
        <v>0</v>
      </c>
      <c r="N58" s="39">
        <f t="shared" ca="1" si="15"/>
        <v>-1.781504797879294E-5</v>
      </c>
      <c r="O58" s="39">
        <f t="shared" si="16"/>
        <v>-29.950027772633739</v>
      </c>
      <c r="P58" s="39">
        <f t="shared" si="20"/>
        <v>-2.4211783953037243</v>
      </c>
      <c r="Q58" s="39">
        <f t="shared" si="17"/>
        <v>86.256079985184613</v>
      </c>
      <c r="R58" s="41">
        <f t="shared" si="18"/>
        <v>1.798575725228734</v>
      </c>
    </row>
    <row r="59" spans="1:18" ht="15">
      <c r="A59" s="45"/>
      <c r="B59" s="45"/>
      <c r="C59" s="131"/>
      <c r="D59" s="129" t="s">
        <v>342</v>
      </c>
      <c r="E59" s="130">
        <f>(-(a^4*wb)/24 - (a^5*wm)/30)/(E*Ix)</f>
        <v>0</v>
      </c>
      <c r="F59" s="45"/>
      <c r="G59" s="45"/>
      <c r="H59" s="45"/>
      <c r="I59" s="45"/>
      <c r="J59" s="87"/>
      <c r="K59" s="29">
        <f t="shared" si="19"/>
        <v>0.9400000000000005</v>
      </c>
      <c r="L59" s="39">
        <f t="shared" si="13"/>
        <v>33.840000000000018</v>
      </c>
      <c r="M59" s="40">
        <f t="shared" si="14"/>
        <v>0</v>
      </c>
      <c r="N59" s="39">
        <f t="shared" ca="1" si="15"/>
        <v>-1.3405624785668702E-5</v>
      </c>
      <c r="O59" s="39">
        <f t="shared" si="16"/>
        <v>-29.950027772633739</v>
      </c>
      <c r="P59" s="39">
        <f t="shared" si="20"/>
        <v>-2.4211783953037243</v>
      </c>
      <c r="Q59" s="39">
        <f t="shared" si="17"/>
        <v>64.692059988888346</v>
      </c>
      <c r="R59" s="41">
        <f t="shared" si="18"/>
        <v>1.3489317939215482</v>
      </c>
    </row>
    <row r="60" spans="1:18" ht="15">
      <c r="A60" s="45"/>
      <c r="B60" s="45"/>
      <c r="C60" s="131"/>
      <c r="D60" s="129" t="s">
        <v>343</v>
      </c>
      <c r="E60" s="130">
        <f ca="1">((b^3*Ra)/(3*L) + (-(b^2)/2 + b^3/(3*L) - L^2/3)*Rb +  ((a - b)^3*(a + 3*b)*wb)/(24*L) +  ((a - b)^3*(a^2 + 3*a*b + b^2)*wm)/(30*L))/(E*Ix)</f>
        <v>-1.5760753246827415E-5</v>
      </c>
      <c r="F60" s="45"/>
      <c r="G60" s="45"/>
      <c r="H60" s="45"/>
      <c r="I60" s="45"/>
      <c r="J60" s="87"/>
      <c r="K60" s="29">
        <f t="shared" si="19"/>
        <v>0.96000000000000052</v>
      </c>
      <c r="L60" s="39">
        <f t="shared" si="13"/>
        <v>34.560000000000016</v>
      </c>
      <c r="M60" s="40">
        <f t="shared" si="14"/>
        <v>0</v>
      </c>
      <c r="N60" s="39">
        <f t="shared" ca="1" si="15"/>
        <v>-8.9581969054810607E-6</v>
      </c>
      <c r="O60" s="39">
        <f t="shared" si="16"/>
        <v>-29.950027772633739</v>
      </c>
      <c r="P60" s="39">
        <f t="shared" si="20"/>
        <v>-2.4211783953037243</v>
      </c>
      <c r="Q60" s="39">
        <f t="shared" si="17"/>
        <v>43.128039992592093</v>
      </c>
      <c r="R60" s="41">
        <f t="shared" si="18"/>
        <v>0.89928786261436255</v>
      </c>
    </row>
    <row r="61" spans="1:18">
      <c r="A61" s="45"/>
      <c r="B61" s="45"/>
      <c r="C61" s="45"/>
      <c r="D61" s="129" t="s">
        <v>344</v>
      </c>
      <c r="E61" s="130">
        <f ca="1">(-(b^3*Ra)/3 + (-b^3/3 + (b^2*L)/2)*Rb +  ((-a + b)^3*(a + 3*b)*wb)/24 +  ((-a + b)^3*(a^2 + 3*a*b + b^2)*wm)/30)/(E*Ix)</f>
        <v>3.954424100343778E-5</v>
      </c>
      <c r="F61" s="45"/>
      <c r="G61" s="45"/>
      <c r="H61" s="45"/>
      <c r="I61" s="45"/>
      <c r="J61" s="87"/>
      <c r="K61" s="29">
        <f t="shared" si="19"/>
        <v>0.98000000000000054</v>
      </c>
      <c r="L61" s="39">
        <f t="shared" si="13"/>
        <v>35.280000000000022</v>
      </c>
      <c r="M61" s="40">
        <f t="shared" si="14"/>
        <v>0</v>
      </c>
      <c r="N61" s="39">
        <f t="shared" ca="1" si="15"/>
        <v>-4.4854325672510431E-6</v>
      </c>
      <c r="O61" s="39">
        <f t="shared" si="16"/>
        <v>-29.950027772633739</v>
      </c>
      <c r="P61" s="39">
        <f>V/A_CS</f>
        <v>-2.4211783953037243</v>
      </c>
      <c r="Q61" s="39">
        <f t="shared" si="17"/>
        <v>21.56401999629562</v>
      </c>
      <c r="R61" s="41">
        <f t="shared" si="18"/>
        <v>0.4496439313071724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9"/>
        <v>1.0000000000000004</v>
      </c>
      <c r="L62" s="42">
        <f t="shared" si="13"/>
        <v>36.000000000000014</v>
      </c>
      <c r="M62" s="43">
        <f t="shared" si="14"/>
        <v>0</v>
      </c>
      <c r="N62" s="42">
        <f t="shared" ca="1" si="15"/>
        <v>2.1684043449710089E-19</v>
      </c>
      <c r="O62" s="42">
        <f t="shared" si="16"/>
        <v>-29.950027772633739</v>
      </c>
      <c r="P62" s="42">
        <f>V/A_CS</f>
        <v>-2.4211783953037243</v>
      </c>
      <c r="Q62" s="42">
        <f t="shared" si="17"/>
        <v>-4.2561549339316313E-13</v>
      </c>
      <c r="R62" s="44">
        <f t="shared" si="18"/>
        <v>-8.874756363025966E-15</v>
      </c>
    </row>
    <row r="63" spans="1:18" ht="13.5" thickTop="1">
      <c r="J63" s="320"/>
    </row>
    <row r="64" spans="1:18">
      <c r="J64" s="320"/>
    </row>
    <row r="65" spans="10:10">
      <c r="J65" s="320"/>
    </row>
    <row r="66" spans="10:10">
      <c r="J66" s="320"/>
    </row>
    <row r="67" spans="10:10">
      <c r="J67" s="320"/>
    </row>
    <row r="68" spans="10:10">
      <c r="J68" s="320"/>
    </row>
    <row r="69" spans="10:10">
      <c r="J69" s="320"/>
    </row>
    <row r="70" spans="10:10">
      <c r="J70" s="320"/>
    </row>
    <row r="71" spans="10:10">
      <c r="J71" s="320"/>
    </row>
    <row r="72" spans="10:10">
      <c r="J72" s="320"/>
    </row>
    <row r="73" spans="10:10">
      <c r="J73" s="320"/>
    </row>
    <row r="74" spans="10:10">
      <c r="J74" s="320"/>
    </row>
    <row r="75" spans="10:10">
      <c r="J75" s="320"/>
    </row>
    <row r="76" spans="10:10">
      <c r="J76" s="320"/>
    </row>
    <row r="77" spans="10:10">
      <c r="J77" s="320"/>
    </row>
    <row r="78" spans="10:10">
      <c r="J78" s="320"/>
    </row>
    <row r="79" spans="10:10">
      <c r="J79" s="320"/>
    </row>
    <row r="80" spans="10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password="C4AC" sheet="1" objects="1" scenarios="1"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5" orientation="landscape" horizontalDpi="4294967292" verticalDpi="4294967292"/>
  <headerFooter alignWithMargins="0"/>
  <drawing r:id="rId1"/>
  <legacyDrawing r:id="rId2"/>
  <oleObjects>
    <oleObject progId="MSPhotoEd.3" shapeId="11072" r:id="rId3"/>
    <oleObject progId="MSPhotoEd.3" shapeId="11073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 syncHorizontal="1" syncRef="A1" codeName="Sheet10">
    <pageSetUpPr fitToPage="1"/>
  </sheetPr>
  <dimension ref="A1:R96"/>
  <sheetViews>
    <sheetView showGridLines="0" defaultGridColor="0" colorId="8" workbookViewId="0">
      <selection activeCell="B10" sqref="B10"/>
    </sheetView>
  </sheetViews>
  <sheetFormatPr defaultColWidth="10.7109375" defaultRowHeight="12.75"/>
  <cols>
    <col min="1" max="1" width="6.140625" style="304" customWidth="1"/>
    <col min="2" max="5" width="8.7109375" style="304" customWidth="1"/>
    <col min="6" max="6" width="9.7109375" style="304" customWidth="1"/>
    <col min="7" max="7" width="7.42578125" style="304" customWidth="1"/>
    <col min="8" max="8" width="1.42578125" style="304" customWidth="1"/>
    <col min="9" max="9" width="8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18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18" ht="13.5" thickBot="1">
      <c r="A3" s="98"/>
      <c r="B3" s="101"/>
      <c r="C3" s="102" t="s">
        <v>290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18" ht="17.25" thickTop="1" thickBot="1">
      <c r="A4" s="98"/>
      <c r="B4" s="57"/>
      <c r="C4" s="104" t="s">
        <v>335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336</v>
      </c>
      <c r="M4" s="49"/>
      <c r="N4" s="45"/>
      <c r="O4" s="45"/>
      <c r="P4" s="45"/>
      <c r="Q4" s="45"/>
      <c r="R4" s="45"/>
    </row>
    <row r="5" spans="1:18" ht="17.25" thickTop="1" thickBot="1">
      <c r="A5" s="98"/>
      <c r="B5" s="105"/>
      <c r="C5" s="106"/>
      <c r="D5" s="48" t="s">
        <v>292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332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18" ht="17.25" thickTop="1" thickBot="1">
      <c r="A6" s="107"/>
      <c r="B6" s="108" t="s">
        <v>332</v>
      </c>
      <c r="C6" s="96" t="s">
        <v>337</v>
      </c>
      <c r="D6" s="96" t="s">
        <v>338</v>
      </c>
      <c r="E6" s="96" t="s">
        <v>332</v>
      </c>
      <c r="F6" s="109" t="s">
        <v>300</v>
      </c>
      <c r="G6" s="57"/>
      <c r="H6" s="58" t="s">
        <v>126</v>
      </c>
      <c r="I6" s="59"/>
      <c r="J6" s="45"/>
      <c r="K6" s="60" t="s">
        <v>129</v>
      </c>
      <c r="L6" s="61" t="s">
        <v>301</v>
      </c>
      <c r="M6" s="62"/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18" ht="14.25" thickTop="1" thickBot="1">
      <c r="A7" s="107"/>
      <c r="B7" s="108" t="s">
        <v>339</v>
      </c>
      <c r="C7" s="96" t="s">
        <v>332</v>
      </c>
      <c r="D7" s="96" t="s">
        <v>332</v>
      </c>
      <c r="E7" s="96" t="s">
        <v>320</v>
      </c>
      <c r="F7" s="109" t="s">
        <v>79</v>
      </c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18" ht="21" thickTop="1" thickBot="1">
      <c r="A8" s="110"/>
      <c r="B8" s="111" t="s">
        <v>306</v>
      </c>
      <c r="C8" s="112" t="s">
        <v>340</v>
      </c>
      <c r="D8" s="112" t="s">
        <v>341</v>
      </c>
      <c r="E8" s="113" t="s">
        <v>271</v>
      </c>
      <c r="F8" s="114" t="s">
        <v>308</v>
      </c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si="0">MIN(M12:M62)</f>
        <v>-7.1054273576010019E-15</v>
      </c>
      <c r="N8" s="27">
        <f t="shared" ca="1" si="0"/>
        <v>-7.9716596393001045E-5</v>
      </c>
      <c r="O8" s="27">
        <f t="shared" ca="1" si="0"/>
        <v>-60</v>
      </c>
      <c r="P8" s="27">
        <f t="shared" ca="1" si="0"/>
        <v>-4.8504363608958574</v>
      </c>
      <c r="Q8" s="27">
        <f t="shared" ca="1" si="0"/>
        <v>-1.3642420526593924E-12</v>
      </c>
      <c r="R8" s="28">
        <f t="shared" ca="1" si="0"/>
        <v>-2.8446605035504175E-14</v>
      </c>
    </row>
    <row r="9" spans="1:18" ht="14.25" thickTop="1" thickBot="1">
      <c r="A9" s="110"/>
      <c r="B9" s="115" t="str">
        <f>[0]!DistanceUnits</f>
        <v>in</v>
      </c>
      <c r="C9" s="116" t="str">
        <f>SUBSTITUTE(SUBSTITUTE("F/D", "F", ForceUnits), "D", DistanceUnits)</f>
        <v>lb/in</v>
      </c>
      <c r="D9" s="116" t="str">
        <f>SUBSTITUTE(SUBSTITUTE("F/D^2", "F", ForceUnits), "D", DistanceUnits)</f>
        <v>lb/in^2</v>
      </c>
      <c r="E9" s="117" t="str">
        <f>[0]!DistanceUnits</f>
        <v>in</v>
      </c>
      <c r="F9" s="118" t="str">
        <f>DistanceUnits</f>
        <v>in</v>
      </c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si="1">MAX(M12:M62)</f>
        <v>9.9999999999999982</v>
      </c>
      <c r="N9" s="32">
        <f t="shared" ca="1" si="1"/>
        <v>0</v>
      </c>
      <c r="O9" s="32">
        <f t="shared" ca="1" si="1"/>
        <v>30</v>
      </c>
      <c r="P9" s="32">
        <f t="shared" ca="1" si="1"/>
        <v>2.4252181804479287</v>
      </c>
      <c r="Q9" s="32">
        <f t="shared" ca="1" si="1"/>
        <v>587.52</v>
      </c>
      <c r="R9" s="33">
        <f t="shared" ca="1" si="1"/>
        <v>12.250721459494624</v>
      </c>
    </row>
    <row r="10" spans="1:18" ht="14.25" thickTop="1" thickBot="1">
      <c r="A10" s="110"/>
      <c r="B10" s="5">
        <v>18</v>
      </c>
      <c r="C10" s="6">
        <v>20</v>
      </c>
      <c r="D10" s="6">
        <f>-720/L^2</f>
        <v>-0.55555555555555558</v>
      </c>
      <c r="E10" s="7">
        <v>36</v>
      </c>
      <c r="F10" s="8">
        <v>36</v>
      </c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si="2">IF(M9&gt;ABS(M8),M9,M8)</f>
        <v>9.9999999999999982</v>
      </c>
      <c r="N10" s="32">
        <f t="shared" ca="1" si="2"/>
        <v>-7.9716596393001045E-5</v>
      </c>
      <c r="O10" s="32">
        <f t="shared" ca="1" si="2"/>
        <v>-60</v>
      </c>
      <c r="P10" s="32">
        <f t="shared" ca="1" si="2"/>
        <v>-4.8504363608958574</v>
      </c>
      <c r="Q10" s="32">
        <f t="shared" ca="1" si="2"/>
        <v>587.52</v>
      </c>
      <c r="R10" s="33">
        <f t="shared" ca="1" si="2"/>
        <v>12.250721459494624</v>
      </c>
    </row>
    <row r="11" spans="1:18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18.000000000000004</v>
      </c>
      <c r="N11" s="37">
        <f t="shared" ca="1" si="3"/>
        <v>19.440000000000005</v>
      </c>
      <c r="O11" s="37">
        <f t="shared" ca="1" si="3"/>
        <v>36.000000000000014</v>
      </c>
      <c r="P11" s="37">
        <f t="shared" ca="1" si="3"/>
        <v>36.000000000000014</v>
      </c>
      <c r="Q11" s="37">
        <f t="shared" ca="1" si="3"/>
        <v>21.600000000000009</v>
      </c>
      <c r="R11" s="38">
        <f t="shared" ca="1" si="3"/>
        <v>21.600000000000009</v>
      </c>
    </row>
    <row r="12" spans="1:18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si="4">L*K12</f>
        <v>0</v>
      </c>
      <c r="M12" s="40">
        <f t="shared" ref="M12:M43" si="5">IF(AND(a&lt;=x,x&lt;=b),wm*x+wb,0)</f>
        <v>0</v>
      </c>
      <c r="N12" s="39">
        <f t="shared" ref="N12:N43" ca="1" si="6">IF(AND(0 &lt;= x, x &lt;= a), a_C2 + a_C1*x + (Ra*x^3)/(6*E*Ix), IF(AND(a &lt; x, x &lt;= b), a_C2p + a_C1p*x + ((Ra*x^3)/6 + wb*(-(a^2*x^2)/4 + (a*x^3)/6 - x^4/24) + wm*(-(a^3*x^2)/6 + (a^2*x^3)/12 - x^5/120))/(E*Ix), a_C2pp + a_C1pp*x + (Rb*((L*x^2)/2 - x^3/6))/(E*Ix)))</f>
        <v>0</v>
      </c>
      <c r="O12" s="39">
        <f t="shared" ref="O12:O43" ca="1" si="7">IF(AND(0&lt;=x,x&lt;=a),Ra,IF(AND(a&lt;x,x&lt;=b),Ra + wb*(a - x) + wm*(a^2/2 - x^2/2), -Rb))</f>
        <v>30</v>
      </c>
      <c r="P12" s="39">
        <f t="shared" ref="P12:P43" ca="1" si="8">V/A_CS</f>
        <v>2.4252181804479287</v>
      </c>
      <c r="Q12" s="39">
        <f t="shared" ref="Q12:Q43" ca="1" si="9">IF(AND(0&lt;=x,x&lt;=a),Ra*x,IF(AND(a&lt;x,x&lt;=b),Ra*x - (wb*(-a + x)^2)/2 + wm*(-(a^3/3) + (a^2*x)/2 - x^3/6), Rb*(L - x)))</f>
        <v>0</v>
      </c>
      <c r="R12" s="41">
        <f t="shared" ref="R12:R43" ca="1" si="10">Ybar*Q12/Ix</f>
        <v>0</v>
      </c>
    </row>
    <row r="13" spans="1:18">
      <c r="A13" s="45"/>
      <c r="B13" s="121"/>
      <c r="C13" s="122"/>
      <c r="D13" s="122"/>
      <c r="E13" s="122"/>
      <c r="F13" s="121"/>
      <c r="G13" s="82">
        <f>A_CS*L</f>
        <v>445.32075864635317</v>
      </c>
      <c r="H13" s="45"/>
      <c r="I13" s="83">
        <f>G13*[0]!Density</f>
        <v>33.844377657122841</v>
      </c>
      <c r="J13" s="45"/>
      <c r="K13" s="29">
        <f t="shared" ref="K13:K44" si="11">K12+0.02</f>
        <v>0.02</v>
      </c>
      <c r="L13" s="39">
        <f t="shared" si="4"/>
        <v>0.72</v>
      </c>
      <c r="M13" s="40">
        <f t="shared" si="5"/>
        <v>0</v>
      </c>
      <c r="N13" s="39">
        <f t="shared" ca="1" si="6"/>
        <v>-4.4920356410428238E-6</v>
      </c>
      <c r="O13" s="39">
        <f t="shared" ca="1" si="7"/>
        <v>30</v>
      </c>
      <c r="P13" s="39">
        <f t="shared" ca="1" si="8"/>
        <v>2.4252181804479287</v>
      </c>
      <c r="Q13" s="39">
        <f t="shared" ca="1" si="9"/>
        <v>21.599999999999998</v>
      </c>
      <c r="R13" s="41">
        <f t="shared" ca="1" si="10"/>
        <v>0.45039417130494935</v>
      </c>
    </row>
    <row r="14" spans="1:18" ht="13.5" thickBot="1">
      <c r="A14" s="45"/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11"/>
        <v>0.04</v>
      </c>
      <c r="L14" s="39">
        <f t="shared" si="4"/>
        <v>1.44</v>
      </c>
      <c r="M14" s="40">
        <f t="shared" si="5"/>
        <v>0</v>
      </c>
      <c r="N14" s="39">
        <f t="shared" ca="1" si="6"/>
        <v>-8.971381915868013E-6</v>
      </c>
      <c r="O14" s="39">
        <f t="shared" ca="1" si="7"/>
        <v>30</v>
      </c>
      <c r="P14" s="39">
        <f t="shared" ca="1" si="8"/>
        <v>2.4252181804479287</v>
      </c>
      <c r="Q14" s="39">
        <f t="shared" ca="1" si="9"/>
        <v>43.199999999999996</v>
      </c>
      <c r="R14" s="41">
        <f t="shared" ca="1" si="10"/>
        <v>0.90078834260989871</v>
      </c>
    </row>
    <row r="15" spans="1:18" ht="14.25" thickTop="1" thickBot="1">
      <c r="A15" s="45"/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11"/>
        <v>0.06</v>
      </c>
      <c r="L15" s="39">
        <f t="shared" si="4"/>
        <v>2.16</v>
      </c>
      <c r="M15" s="40">
        <f t="shared" si="5"/>
        <v>0</v>
      </c>
      <c r="N15" s="39">
        <f t="shared" ca="1" si="6"/>
        <v>-1.3425349458257932E-5</v>
      </c>
      <c r="O15" s="39">
        <f t="shared" ca="1" si="7"/>
        <v>30</v>
      </c>
      <c r="P15" s="39">
        <f t="shared" ca="1" si="8"/>
        <v>2.4252181804479287</v>
      </c>
      <c r="Q15" s="39">
        <f t="shared" ca="1" si="9"/>
        <v>64.800000000000011</v>
      </c>
      <c r="R15" s="41">
        <f t="shared" ca="1" si="10"/>
        <v>1.3511825139148483</v>
      </c>
    </row>
    <row r="16" spans="1:18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11"/>
        <v>0.08</v>
      </c>
      <c r="L16" s="39">
        <f t="shared" si="4"/>
        <v>2.88</v>
      </c>
      <c r="M16" s="40">
        <f t="shared" si="5"/>
        <v>0</v>
      </c>
      <c r="N16" s="39">
        <f t="shared" ca="1" si="6"/>
        <v>-1.7841248901994942E-5</v>
      </c>
      <c r="O16" s="39">
        <f t="shared" ca="1" si="7"/>
        <v>30</v>
      </c>
      <c r="P16" s="39">
        <f t="shared" ca="1" si="8"/>
        <v>2.4252181804479287</v>
      </c>
      <c r="Q16" s="39">
        <f t="shared" ca="1" si="9"/>
        <v>86.399999999999991</v>
      </c>
      <c r="R16" s="41">
        <f t="shared" ca="1" si="10"/>
        <v>1.8015766852197974</v>
      </c>
    </row>
    <row r="17" spans="1:18">
      <c r="A17" s="107" t="s">
        <v>332</v>
      </c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11"/>
        <v>0.1</v>
      </c>
      <c r="L17" s="39">
        <f t="shared" si="4"/>
        <v>3.6</v>
      </c>
      <c r="M17" s="40">
        <f t="shared" si="5"/>
        <v>0</v>
      </c>
      <c r="N17" s="39">
        <f t="shared" ca="1" si="6"/>
        <v>-2.2206390880861418E-5</v>
      </c>
      <c r="O17" s="39">
        <f t="shared" ca="1" si="7"/>
        <v>30</v>
      </c>
      <c r="P17" s="39">
        <f t="shared" ca="1" si="8"/>
        <v>2.4252181804479287</v>
      </c>
      <c r="Q17" s="39">
        <f t="shared" ca="1" si="9"/>
        <v>108</v>
      </c>
      <c r="R17" s="41">
        <f t="shared" ca="1" si="10"/>
        <v>2.2519708565247472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11"/>
        <v>0.12000000000000001</v>
      </c>
      <c r="L18" s="39">
        <f t="shared" si="4"/>
        <v>4.32</v>
      </c>
      <c r="M18" s="40">
        <f t="shared" si="5"/>
        <v>0</v>
      </c>
      <c r="N18" s="39">
        <f t="shared" ca="1" si="6"/>
        <v>-2.6508086028639718E-5</v>
      </c>
      <c r="O18" s="39">
        <f t="shared" ca="1" si="7"/>
        <v>30</v>
      </c>
      <c r="P18" s="39">
        <f t="shared" ca="1" si="8"/>
        <v>2.4252181804479287</v>
      </c>
      <c r="Q18" s="39">
        <f t="shared" ca="1" si="9"/>
        <v>129.60000000000002</v>
      </c>
      <c r="R18" s="41">
        <f t="shared" ca="1" si="10"/>
        <v>2.7023650278296967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IF(ABS(R10)/[0]!Strength &lt; 1, ABS(R10)/[0]!Strength, "FAILED.")</f>
        <v>5.1044672747894266E-4</v>
      </c>
      <c r="J19" s="45"/>
      <c r="K19" s="29">
        <f t="shared" si="11"/>
        <v>0.14000000000000001</v>
      </c>
      <c r="L19" s="39">
        <f t="shared" si="4"/>
        <v>5.0400000000000009</v>
      </c>
      <c r="M19" s="40">
        <f t="shared" si="5"/>
        <v>0</v>
      </c>
      <c r="N19" s="39">
        <f t="shared" ca="1" si="6"/>
        <v>-3.0733644979112205E-5</v>
      </c>
      <c r="O19" s="39">
        <f t="shared" ca="1" si="7"/>
        <v>30</v>
      </c>
      <c r="P19" s="39">
        <f t="shared" ca="1" si="8"/>
        <v>2.4252181804479287</v>
      </c>
      <c r="Q19" s="39">
        <f t="shared" ca="1" si="9"/>
        <v>151.20000000000002</v>
      </c>
      <c r="R19" s="41">
        <f t="shared" ca="1" si="10"/>
        <v>3.1527591991346462</v>
      </c>
    </row>
    <row r="20" spans="1:18" ht="14.25" thickTop="1" thickBot="1">
      <c r="A20" s="45"/>
      <c r="B20" s="96" t="s">
        <v>316</v>
      </c>
      <c r="C20" s="121"/>
      <c r="D20" s="121"/>
      <c r="E20" s="121"/>
      <c r="F20" s="96" t="s">
        <v>317</v>
      </c>
      <c r="G20" s="45"/>
      <c r="H20" s="45"/>
      <c r="I20" s="45"/>
      <c r="J20" s="45"/>
      <c r="K20" s="29">
        <f t="shared" si="11"/>
        <v>0.16</v>
      </c>
      <c r="L20" s="39">
        <f t="shared" si="4"/>
        <v>5.76</v>
      </c>
      <c r="M20" s="40">
        <f t="shared" si="5"/>
        <v>0</v>
      </c>
      <c r="N20" s="39">
        <f t="shared" ca="1" si="6"/>
        <v>-3.4870378366061243E-5</v>
      </c>
      <c r="O20" s="39">
        <f t="shared" ca="1" si="7"/>
        <v>30</v>
      </c>
      <c r="P20" s="39">
        <f t="shared" ca="1" si="8"/>
        <v>2.4252181804479287</v>
      </c>
      <c r="Q20" s="39">
        <f t="shared" ca="1" si="9"/>
        <v>172.79999999999998</v>
      </c>
      <c r="R20" s="41">
        <f t="shared" ca="1" si="10"/>
        <v>3.6031533704395948</v>
      </c>
    </row>
    <row r="21" spans="1:18" ht="13.5" thickTop="1">
      <c r="A21" s="45"/>
      <c r="B21" s="97">
        <f ca="1">IF(IsValidUser, (-a + b + (a^2 - b^2)/(2*L))*wb + (-(a^2)/2 + b^2/2 + (a^3 - b^3)/(3*L))*wm,"Time To Pay")</f>
        <v>30</v>
      </c>
      <c r="C21" s="121"/>
      <c r="D21" s="121"/>
      <c r="E21" s="121"/>
      <c r="F21" s="97">
        <f>((-(a^2) + b^2)*wb)/(2*L) + ((-a^3 + b^3)*wm)/(3*L)</f>
        <v>60</v>
      </c>
      <c r="G21" s="45"/>
      <c r="H21" s="45"/>
      <c r="I21" s="80" t="s">
        <v>318</v>
      </c>
      <c r="J21" s="45"/>
      <c r="K21" s="29">
        <f t="shared" si="11"/>
        <v>0.18</v>
      </c>
      <c r="L21" s="39">
        <f t="shared" si="4"/>
        <v>6.4799999999999995</v>
      </c>
      <c r="M21" s="40">
        <f t="shared" si="5"/>
        <v>0</v>
      </c>
      <c r="N21" s="39">
        <f t="shared" ca="1" si="6"/>
        <v>-3.8905596823269206E-5</v>
      </c>
      <c r="O21" s="39">
        <f t="shared" ca="1" si="7"/>
        <v>30</v>
      </c>
      <c r="P21" s="39">
        <f t="shared" ca="1" si="8"/>
        <v>2.4252181804479287</v>
      </c>
      <c r="Q21" s="39">
        <f t="shared" ca="1" si="9"/>
        <v>194.39999999999998</v>
      </c>
      <c r="R21" s="41">
        <f t="shared" ca="1" si="10"/>
        <v>4.0535475417445443</v>
      </c>
    </row>
    <row r="22" spans="1:18">
      <c r="A22" s="75"/>
      <c r="B22" s="127" t="str">
        <f>ForceUnits</f>
        <v>lb</v>
      </c>
      <c r="C22" s="121"/>
      <c r="D22" s="121"/>
      <c r="E22" s="121"/>
      <c r="F22" s="127" t="str">
        <f>ForceUnits</f>
        <v>lb</v>
      </c>
      <c r="G22" s="45"/>
      <c r="H22" s="45"/>
      <c r="I22" s="82" t="s">
        <v>296</v>
      </c>
      <c r="J22" s="45"/>
      <c r="K22" s="29">
        <f t="shared" si="11"/>
        <v>0.19999999999999998</v>
      </c>
      <c r="L22" s="39">
        <f t="shared" si="4"/>
        <v>7.1999999999999993</v>
      </c>
      <c r="M22" s="40">
        <f t="shared" si="5"/>
        <v>0</v>
      </c>
      <c r="N22" s="39">
        <f t="shared" ca="1" si="6"/>
        <v>-4.2826610984518444E-5</v>
      </c>
      <c r="O22" s="39">
        <f t="shared" ca="1" si="7"/>
        <v>30</v>
      </c>
      <c r="P22" s="39">
        <f t="shared" ca="1" si="8"/>
        <v>2.4252181804479287</v>
      </c>
      <c r="Q22" s="39">
        <f t="shared" ca="1" si="9"/>
        <v>215.99999999999997</v>
      </c>
      <c r="R22" s="41">
        <f t="shared" ca="1" si="10"/>
        <v>4.5039417130494934</v>
      </c>
    </row>
    <row r="23" spans="1:18">
      <c r="A23" s="45"/>
      <c r="B23" s="121"/>
      <c r="C23" s="121"/>
      <c r="D23" s="121"/>
      <c r="E23" s="121"/>
      <c r="F23" s="121"/>
      <c r="G23" s="45"/>
      <c r="H23" s="45"/>
      <c r="I23" s="86" t="s">
        <v>303</v>
      </c>
      <c r="J23" s="45"/>
      <c r="K23" s="29">
        <f t="shared" si="11"/>
        <v>0.21999999999999997</v>
      </c>
      <c r="L23" s="39">
        <f t="shared" si="4"/>
        <v>7.919999999999999</v>
      </c>
      <c r="M23" s="40">
        <f t="shared" si="5"/>
        <v>0</v>
      </c>
      <c r="N23" s="39">
        <f t="shared" ca="1" si="6"/>
        <v>-4.6620731483591341E-5</v>
      </c>
      <c r="O23" s="39">
        <f t="shared" ca="1" si="7"/>
        <v>30</v>
      </c>
      <c r="P23" s="39">
        <f t="shared" ca="1" si="8"/>
        <v>2.4252181804479287</v>
      </c>
      <c r="Q23" s="39">
        <f t="shared" ca="1" si="9"/>
        <v>237.59999999999997</v>
      </c>
      <c r="R23" s="41">
        <f t="shared" ca="1" si="10"/>
        <v>4.9543358843544425</v>
      </c>
    </row>
    <row r="24" spans="1:18" ht="13.5" thickBot="1">
      <c r="A24" s="45"/>
      <c r="B24" s="121"/>
      <c r="C24" s="121"/>
      <c r="D24" s="121"/>
      <c r="E24" s="121"/>
      <c r="F24" s="121"/>
      <c r="G24" s="45"/>
      <c r="H24" s="45"/>
      <c r="I24" s="85">
        <f ca="1">IF(ABS(P10)/[0]!Strength &lt; 1, ABS(P10)/[0]!Strength, "FAILED.")</f>
        <v>2.021015150373274E-4</v>
      </c>
      <c r="J24" s="45"/>
      <c r="K24" s="29">
        <f t="shared" si="11"/>
        <v>0.23999999999999996</v>
      </c>
      <c r="L24" s="39">
        <f t="shared" si="4"/>
        <v>8.6399999999999988</v>
      </c>
      <c r="M24" s="40">
        <f t="shared" si="5"/>
        <v>0</v>
      </c>
      <c r="N24" s="39">
        <f t="shared" ca="1" si="6"/>
        <v>-5.0275268954270241E-5</v>
      </c>
      <c r="O24" s="39">
        <f t="shared" ca="1" si="7"/>
        <v>30</v>
      </c>
      <c r="P24" s="39">
        <f t="shared" ca="1" si="8"/>
        <v>2.4252181804479287</v>
      </c>
      <c r="Q24" s="39">
        <f t="shared" ca="1" si="9"/>
        <v>259.2</v>
      </c>
      <c r="R24" s="41">
        <f t="shared" ca="1" si="10"/>
        <v>5.4047300556593925</v>
      </c>
    </row>
    <row r="25" spans="1:18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29">
        <f t="shared" si="11"/>
        <v>0.25999999999999995</v>
      </c>
      <c r="L25" s="39">
        <f t="shared" si="4"/>
        <v>9.3599999999999977</v>
      </c>
      <c r="M25" s="40">
        <f t="shared" si="5"/>
        <v>0</v>
      </c>
      <c r="N25" s="39">
        <f t="shared" ca="1" si="6"/>
        <v>-5.3777534030337526E-5</v>
      </c>
      <c r="O25" s="39">
        <f t="shared" ca="1" si="7"/>
        <v>30</v>
      </c>
      <c r="P25" s="39">
        <f t="shared" ca="1" si="8"/>
        <v>2.4252181804479287</v>
      </c>
      <c r="Q25" s="39">
        <f t="shared" ca="1" si="9"/>
        <v>280.79999999999995</v>
      </c>
      <c r="R25" s="41">
        <f t="shared" ca="1" si="10"/>
        <v>5.8551242269643415</v>
      </c>
    </row>
    <row r="26" spans="1:18" ht="13.5" thickTop="1">
      <c r="A26" s="80" t="s">
        <v>320</v>
      </c>
      <c r="B26" s="121"/>
      <c r="C26" s="121"/>
      <c r="D26" s="121"/>
      <c r="E26" s="121"/>
      <c r="F26" s="121"/>
      <c r="G26" s="88" t="s">
        <v>320</v>
      </c>
      <c r="H26" s="45"/>
      <c r="I26" s="89" t="s">
        <v>321</v>
      </c>
      <c r="J26" s="87"/>
      <c r="K26" s="29">
        <f t="shared" si="11"/>
        <v>0.27999999999999997</v>
      </c>
      <c r="L26" s="39">
        <f t="shared" si="4"/>
        <v>10.079999999999998</v>
      </c>
      <c r="M26" s="40">
        <f t="shared" si="5"/>
        <v>0</v>
      </c>
      <c r="N26" s="39">
        <f t="shared" ca="1" si="6"/>
        <v>-5.7114837345575563E-5</v>
      </c>
      <c r="O26" s="39">
        <f t="shared" ca="1" si="7"/>
        <v>30</v>
      </c>
      <c r="P26" s="39">
        <f t="shared" ca="1" si="8"/>
        <v>2.4252181804479287</v>
      </c>
      <c r="Q26" s="39">
        <f t="shared" ca="1" si="9"/>
        <v>302.39999999999998</v>
      </c>
      <c r="R26" s="41">
        <f t="shared" ca="1" si="10"/>
        <v>6.3055183982692915</v>
      </c>
    </row>
    <row r="27" spans="1:18">
      <c r="A27" s="93" t="s">
        <v>322</v>
      </c>
      <c r="B27" s="121"/>
      <c r="C27" s="121"/>
      <c r="D27" s="121"/>
      <c r="E27" s="121"/>
      <c r="F27" s="121"/>
      <c r="G27" s="90" t="s">
        <v>322</v>
      </c>
      <c r="H27" s="45"/>
      <c r="I27" s="91" t="s">
        <v>295</v>
      </c>
      <c r="J27" s="87"/>
      <c r="K27" s="29">
        <f t="shared" si="11"/>
        <v>0.3</v>
      </c>
      <c r="L27" s="39">
        <f t="shared" si="4"/>
        <v>10.799999999999999</v>
      </c>
      <c r="M27" s="40">
        <f t="shared" si="5"/>
        <v>0</v>
      </c>
      <c r="N27" s="39">
        <f t="shared" ca="1" si="6"/>
        <v>-6.0274489533766713E-5</v>
      </c>
      <c r="O27" s="39">
        <f t="shared" ca="1" si="7"/>
        <v>30</v>
      </c>
      <c r="P27" s="39">
        <f t="shared" ca="1" si="8"/>
        <v>2.4252181804479287</v>
      </c>
      <c r="Q27" s="39">
        <f t="shared" ca="1" si="9"/>
        <v>323.99999999999994</v>
      </c>
      <c r="R27" s="41">
        <f t="shared" ca="1" si="10"/>
        <v>6.7559125695742397</v>
      </c>
    </row>
    <row r="28" spans="1:18">
      <c r="A28" s="82">
        <f ca="1">DEGREES(a_C1)</f>
        <v>-3.5763313635498811E-4</v>
      </c>
      <c r="B28" s="121"/>
      <c r="C28" s="121"/>
      <c r="D28" s="121"/>
      <c r="E28" s="121"/>
      <c r="F28" s="121"/>
      <c r="G28" s="82">
        <f ca="1">(180/PI())*(a_C1pp + (L^2*Rb)/(2*E*Ix))</f>
        <v>4.3126348795748587E-4</v>
      </c>
      <c r="H28" s="45"/>
      <c r="I28" s="91">
        <f ca="1">N10</f>
        <v>-7.9716596393001045E-5</v>
      </c>
      <c r="J28" s="87"/>
      <c r="K28" s="29">
        <f t="shared" si="11"/>
        <v>0.32</v>
      </c>
      <c r="L28" s="39">
        <f t="shared" si="4"/>
        <v>11.52</v>
      </c>
      <c r="M28" s="40">
        <f t="shared" si="5"/>
        <v>0</v>
      </c>
      <c r="N28" s="39">
        <f t="shared" ca="1" si="6"/>
        <v>-6.3243801228693314E-5</v>
      </c>
      <c r="O28" s="39">
        <f t="shared" ca="1" si="7"/>
        <v>30</v>
      </c>
      <c r="P28" s="39">
        <f t="shared" ca="1" si="8"/>
        <v>2.4252181804479287</v>
      </c>
      <c r="Q28" s="39">
        <f t="shared" ca="1" si="9"/>
        <v>345.59999999999997</v>
      </c>
      <c r="R28" s="41">
        <f t="shared" ca="1" si="10"/>
        <v>7.2063067408791897</v>
      </c>
    </row>
    <row r="29" spans="1:18" ht="13.5" thickBot="1">
      <c r="A29" s="84" t="s">
        <v>323</v>
      </c>
      <c r="B29" s="121"/>
      <c r="C29" s="121"/>
      <c r="D29" s="121"/>
      <c r="E29" s="121"/>
      <c r="F29" s="121"/>
      <c r="G29" s="84" t="s">
        <v>323</v>
      </c>
      <c r="H29" s="45"/>
      <c r="I29" s="92" t="str">
        <f>DistanceUnits</f>
        <v>in</v>
      </c>
      <c r="J29" s="87"/>
      <c r="K29" s="29">
        <f t="shared" si="11"/>
        <v>0.34</v>
      </c>
      <c r="L29" s="39">
        <f t="shared" si="4"/>
        <v>12.24</v>
      </c>
      <c r="M29" s="40">
        <f t="shared" si="5"/>
        <v>0</v>
      </c>
      <c r="N29" s="39">
        <f t="shared" ca="1" si="6"/>
        <v>-6.6010083064137775E-5</v>
      </c>
      <c r="O29" s="39">
        <f t="shared" ca="1" si="7"/>
        <v>30</v>
      </c>
      <c r="P29" s="39">
        <f t="shared" ca="1" si="8"/>
        <v>2.4252181804479287</v>
      </c>
      <c r="Q29" s="39">
        <f t="shared" ca="1" si="9"/>
        <v>367.2</v>
      </c>
      <c r="R29" s="41">
        <f t="shared" ca="1" si="10"/>
        <v>7.6567009121841396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11"/>
        <v>0.36000000000000004</v>
      </c>
      <c r="L30" s="39">
        <f t="shared" si="4"/>
        <v>12.96</v>
      </c>
      <c r="M30" s="40">
        <f t="shared" si="5"/>
        <v>0</v>
      </c>
      <c r="N30" s="39">
        <f t="shared" ca="1" si="6"/>
        <v>-6.8560645673882437E-5</v>
      </c>
      <c r="O30" s="39">
        <f t="shared" ca="1" si="7"/>
        <v>30</v>
      </c>
      <c r="P30" s="39">
        <f t="shared" ca="1" si="8"/>
        <v>2.4252181804479287</v>
      </c>
      <c r="Q30" s="39">
        <f t="shared" ca="1" si="9"/>
        <v>388.8</v>
      </c>
      <c r="R30" s="41">
        <f t="shared" ca="1" si="10"/>
        <v>8.1070950834890887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11"/>
        <v>0.38000000000000006</v>
      </c>
      <c r="L31" s="39">
        <f t="shared" si="4"/>
        <v>13.680000000000001</v>
      </c>
      <c r="M31" s="40">
        <f t="shared" si="5"/>
        <v>0</v>
      </c>
      <c r="N31" s="39">
        <f t="shared" ca="1" si="6"/>
        <v>-7.0882799691709652E-5</v>
      </c>
      <c r="O31" s="39">
        <f t="shared" ca="1" si="7"/>
        <v>30</v>
      </c>
      <c r="P31" s="39">
        <f t="shared" ca="1" si="8"/>
        <v>2.4252181804479287</v>
      </c>
      <c r="Q31" s="39">
        <f t="shared" ca="1" si="9"/>
        <v>410.40000000000003</v>
      </c>
      <c r="R31" s="41">
        <f t="shared" ca="1" si="10"/>
        <v>8.5574892547940387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11"/>
        <v>0.40000000000000008</v>
      </c>
      <c r="L32" s="39">
        <f t="shared" si="4"/>
        <v>14.400000000000002</v>
      </c>
      <c r="M32" s="40">
        <f t="shared" si="5"/>
        <v>0</v>
      </c>
      <c r="N32" s="39">
        <f t="shared" ca="1" si="6"/>
        <v>-7.2963855751401814E-5</v>
      </c>
      <c r="O32" s="39">
        <f t="shared" ca="1" si="7"/>
        <v>30</v>
      </c>
      <c r="P32" s="39">
        <f t="shared" ca="1" si="8"/>
        <v>2.4252181804479287</v>
      </c>
      <c r="Q32" s="39">
        <f t="shared" ca="1" si="9"/>
        <v>432.00000000000006</v>
      </c>
      <c r="R32" s="41">
        <f t="shared" ca="1" si="10"/>
        <v>9.0078834260989886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30</v>
      </c>
      <c r="J33" s="87"/>
      <c r="K33" s="29">
        <f t="shared" si="11"/>
        <v>0.4200000000000001</v>
      </c>
      <c r="L33" s="39">
        <f t="shared" si="4"/>
        <v>15.120000000000003</v>
      </c>
      <c r="M33" s="40">
        <f t="shared" si="5"/>
        <v>0</v>
      </c>
      <c r="N33" s="39">
        <f t="shared" ca="1" si="6"/>
        <v>-7.4791124486741278E-5</v>
      </c>
      <c r="O33" s="39">
        <f t="shared" ca="1" si="7"/>
        <v>30</v>
      </c>
      <c r="P33" s="39">
        <f t="shared" ca="1" si="8"/>
        <v>2.4252181804479287</v>
      </c>
      <c r="Q33" s="39">
        <f t="shared" ca="1" si="9"/>
        <v>453.60000000000008</v>
      </c>
      <c r="R33" s="41">
        <f t="shared" ca="1" si="10"/>
        <v>9.4582775974039386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11"/>
        <v>0.44000000000000011</v>
      </c>
      <c r="L34" s="39">
        <f t="shared" si="4"/>
        <v>15.840000000000003</v>
      </c>
      <c r="M34" s="40">
        <f t="shared" si="5"/>
        <v>0</v>
      </c>
      <c r="N34" s="39">
        <f t="shared" ca="1" si="6"/>
        <v>-7.6351916531510383E-5</v>
      </c>
      <c r="O34" s="39">
        <f t="shared" ca="1" si="7"/>
        <v>30</v>
      </c>
      <c r="P34" s="39">
        <f t="shared" ca="1" si="8"/>
        <v>2.4252181804479287</v>
      </c>
      <c r="Q34" s="39">
        <f t="shared" ca="1" si="9"/>
        <v>475.2000000000001</v>
      </c>
      <c r="R34" s="41">
        <f t="shared" ca="1" si="10"/>
        <v>9.9086717687088885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11"/>
        <v>0.46000000000000013</v>
      </c>
      <c r="L35" s="39">
        <f t="shared" si="4"/>
        <v>16.560000000000006</v>
      </c>
      <c r="M35" s="40">
        <f t="shared" si="5"/>
        <v>0</v>
      </c>
      <c r="N35" s="39">
        <f t="shared" ca="1" si="6"/>
        <v>-7.7633542519491537E-5</v>
      </c>
      <c r="O35" s="39">
        <f t="shared" ca="1" si="7"/>
        <v>30</v>
      </c>
      <c r="P35" s="39">
        <f t="shared" ca="1" si="8"/>
        <v>2.4252181804479287</v>
      </c>
      <c r="Q35" s="39">
        <f t="shared" ca="1" si="9"/>
        <v>496.80000000000018</v>
      </c>
      <c r="R35" s="41">
        <f t="shared" ca="1" si="10"/>
        <v>10.35906594001384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11"/>
        <v>0.48000000000000015</v>
      </c>
      <c r="L36" s="39">
        <f t="shared" si="4"/>
        <v>17.280000000000005</v>
      </c>
      <c r="M36" s="40">
        <f t="shared" si="5"/>
        <v>0</v>
      </c>
      <c r="N36" s="39">
        <f t="shared" ca="1" si="6"/>
        <v>-7.8623313084467066E-5</v>
      </c>
      <c r="O36" s="39">
        <f t="shared" ca="1" si="7"/>
        <v>30</v>
      </c>
      <c r="P36" s="39">
        <f t="shared" ca="1" si="8"/>
        <v>2.4252181804479287</v>
      </c>
      <c r="Q36" s="39">
        <f t="shared" ca="1" si="9"/>
        <v>518.40000000000009</v>
      </c>
      <c r="R36" s="41">
        <f t="shared" ca="1" si="10"/>
        <v>10.809460111318787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11"/>
        <v>0.50000000000000011</v>
      </c>
      <c r="L37" s="39">
        <f t="shared" si="4"/>
        <v>18.000000000000004</v>
      </c>
      <c r="M37" s="40">
        <f t="shared" si="5"/>
        <v>9.9999999999999982</v>
      </c>
      <c r="N37" s="39">
        <f t="shared" ca="1" si="6"/>
        <v>-7.9308538860219352E-5</v>
      </c>
      <c r="O37" s="39">
        <f t="shared" ca="1" si="7"/>
        <v>30</v>
      </c>
      <c r="P37" s="39">
        <f t="shared" ca="1" si="8"/>
        <v>2.4252181804479287</v>
      </c>
      <c r="Q37" s="39">
        <f t="shared" ca="1" si="9"/>
        <v>540.00000000000011</v>
      </c>
      <c r="R37" s="41">
        <f t="shared" ca="1" si="10"/>
        <v>11.259854282623737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-60</v>
      </c>
      <c r="J38" s="87"/>
      <c r="K38" s="29">
        <f t="shared" si="11"/>
        <v>0.52000000000000013</v>
      </c>
      <c r="L38" s="39">
        <f t="shared" si="4"/>
        <v>18.720000000000006</v>
      </c>
      <c r="M38" s="40">
        <f t="shared" si="5"/>
        <v>9.5999999999999961</v>
      </c>
      <c r="N38" s="39">
        <f t="shared" ca="1" si="6"/>
        <v>-7.9676656359043641E-5</v>
      </c>
      <c r="O38" s="39">
        <f t="shared" ca="1" si="7"/>
        <v>22.943999999999946</v>
      </c>
      <c r="P38" s="39">
        <f t="shared" ca="1" si="8"/>
        <v>1.8548068644065716</v>
      </c>
      <c r="Q38" s="39">
        <f t="shared" ca="1" si="9"/>
        <v>559.04256000000021</v>
      </c>
      <c r="R38" s="41">
        <f t="shared" ca="1" si="10"/>
        <v>11.656921784046183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11"/>
        <v>0.54000000000000015</v>
      </c>
      <c r="L39" s="39">
        <f t="shared" si="4"/>
        <v>19.440000000000005</v>
      </c>
      <c r="M39" s="40">
        <f t="shared" si="5"/>
        <v>9.1999999999999975</v>
      </c>
      <c r="N39" s="39">
        <f t="shared" ca="1" si="6"/>
        <v>-7.9716596393001045E-5</v>
      </c>
      <c r="O39" s="39">
        <f t="shared" ca="1" si="7"/>
        <v>16.175999999999959</v>
      </c>
      <c r="P39" s="39">
        <f t="shared" ca="1" si="8"/>
        <v>1.3076776428975199</v>
      </c>
      <c r="Q39" s="39">
        <f t="shared" ca="1" si="9"/>
        <v>573.10848000000021</v>
      </c>
      <c r="R39" s="41">
        <f t="shared" ca="1" si="10"/>
        <v>11.950218468399965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11"/>
        <v>0.56000000000000016</v>
      </c>
      <c r="L40" s="39">
        <f t="shared" si="4"/>
        <v>20.160000000000007</v>
      </c>
      <c r="M40" s="40">
        <f t="shared" si="5"/>
        <v>8.7999999999999954</v>
      </c>
      <c r="N40" s="39">
        <f t="shared" ca="1" si="6"/>
        <v>-7.9420085495317323E-5</v>
      </c>
      <c r="O40" s="39">
        <f t="shared" ca="1" si="7"/>
        <v>9.6959999999999447</v>
      </c>
      <c r="P40" s="39">
        <f t="shared" ca="1" si="8"/>
        <v>0.78383051592076614</v>
      </c>
      <c r="Q40" s="39">
        <f t="shared" ca="1" si="9"/>
        <v>582.40512000000024</v>
      </c>
      <c r="R40" s="41">
        <f t="shared" ca="1" si="10"/>
        <v>12.144068119729617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11"/>
        <v>0.58000000000000018</v>
      </c>
      <c r="L41" s="39">
        <f t="shared" si="4"/>
        <v>20.880000000000006</v>
      </c>
      <c r="M41" s="40">
        <f t="shared" si="5"/>
        <v>8.3999999999999968</v>
      </c>
      <c r="N41" s="39">
        <f t="shared" ca="1" si="6"/>
        <v>-7.8781652011280013E-5</v>
      </c>
      <c r="O41" s="39">
        <f t="shared" ca="1" si="7"/>
        <v>3.5039999999999445</v>
      </c>
      <c r="P41" s="39">
        <f t="shared" ca="1" si="8"/>
        <v>0.28326548347631358</v>
      </c>
      <c r="Q41" s="39">
        <f t="shared" ca="1" si="9"/>
        <v>587.13984000000005</v>
      </c>
      <c r="R41" s="41">
        <f t="shared" ca="1" si="10"/>
        <v>12.242794522079658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11"/>
        <v>0.6000000000000002</v>
      </c>
      <c r="L42" s="39">
        <f t="shared" si="4"/>
        <v>21.600000000000009</v>
      </c>
      <c r="M42" s="40">
        <f t="shared" si="5"/>
        <v>7.9999999999999947</v>
      </c>
      <c r="N42" s="39">
        <f t="shared" ca="1" si="6"/>
        <v>-7.7798504280320792E-5</v>
      </c>
      <c r="O42" s="39">
        <f t="shared" ca="1" si="7"/>
        <v>-2.4000000000000767</v>
      </c>
      <c r="P42" s="39">
        <f t="shared" ca="1" si="8"/>
        <v>-0.19401745443584051</v>
      </c>
      <c r="Q42" s="39">
        <f t="shared" ca="1" si="9"/>
        <v>587.52</v>
      </c>
      <c r="R42" s="41">
        <f t="shared" ca="1" si="10"/>
        <v>12.250721459494624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587.52</v>
      </c>
      <c r="J43" s="87"/>
      <c r="K43" s="29">
        <f t="shared" si="11"/>
        <v>0.62000000000000022</v>
      </c>
      <c r="L43" s="39">
        <f t="shared" si="4"/>
        <v>22.320000000000007</v>
      </c>
      <c r="M43" s="40">
        <f t="shared" si="5"/>
        <v>7.5999999999999961</v>
      </c>
      <c r="N43" s="39">
        <f t="shared" ca="1" si="6"/>
        <v>-7.6470408818101162E-5</v>
      </c>
      <c r="O43" s="39">
        <f t="shared" ca="1" si="7"/>
        <v>-8.0160000000000551</v>
      </c>
      <c r="P43" s="39">
        <f t="shared" ca="1" si="8"/>
        <v>-0.64801829781569109</v>
      </c>
      <c r="Q43" s="39">
        <f t="shared" ca="1" si="9"/>
        <v>583.75295999999992</v>
      </c>
      <c r="R43" s="41">
        <f t="shared" ca="1" si="10"/>
        <v>12.172172716019039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11"/>
        <v>0.64000000000000024</v>
      </c>
      <c r="L44" s="39">
        <f t="shared" ref="L44:L62" si="12">L*K44</f>
        <v>23.04000000000001</v>
      </c>
      <c r="M44" s="40">
        <f t="shared" ref="M44:M62" si="13">IF(AND(a&lt;=x,x&lt;=b),wm*x+wb,0)</f>
        <v>7.199999999999994</v>
      </c>
      <c r="N44" s="39">
        <f t="shared" ref="N44:N62" ca="1" si="14">IF(AND(0 &lt;= x, x &lt;= a), a_C2 + a_C1*x + (Ra*x^3)/(6*E*Ix), IF(AND(a &lt; x, x &lt;= b), a_C2p + a_C1p*x + ((Ra*x^3)/6 + wb*(-(a^2*x^2)/4 + (a*x^3)/6 - x^4/24) + wm*(-(a^3*x^2)/6 + (a^2*x^3)/12 - x^5/120))/(E*Ix), a_C2pp + a_C1pp*x + (Rb*((L*x^2)/2 - x^3/6))/(E*Ix)))</f>
        <v>-7.4799568498596993E-5</v>
      </c>
      <c r="O44" s="39">
        <f t="shared" ref="O44:O62" ca="1" si="15">IF(AND(0&lt;=x,x&lt;=a),Ra,IF(AND(a&lt;x,x&lt;=b),Ra + wb*(a - x) + wm*(a^2/2 - x^2/2), -Rb))</f>
        <v>-13.344000000000072</v>
      </c>
      <c r="P44" s="39">
        <f t="shared" ref="P44:P62" ca="1" si="16">V/A_CS</f>
        <v>-1.0787370466632447</v>
      </c>
      <c r="Q44" s="39">
        <f t="shared" ref="Q44:Q62" ca="1" si="17">IF(AND(0&lt;=x,x&lt;=a),Ra*x,IF(AND(a&lt;x,x&lt;=b),Ra*x - (wb*(-a + x)^2)/2 + wm*(-(a^3/3) + (a^2*x)/2 - x^3/6), Rb*(L - x)))</f>
        <v>576.04607999999985</v>
      </c>
      <c r="R44" s="41">
        <f t="shared" ref="R44:R62" ca="1" si="18">Ybar*Q44/Ix</f>
        <v>12.011472075697432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19">K44+0.02</f>
        <v>0.66000000000000025</v>
      </c>
      <c r="L45" s="39">
        <f t="shared" si="12"/>
        <v>23.760000000000009</v>
      </c>
      <c r="M45" s="40">
        <f t="shared" si="13"/>
        <v>6.7999999999999954</v>
      </c>
      <c r="N45" s="39">
        <f t="shared" ca="1" si="14"/>
        <v>-7.2790500736181631E-5</v>
      </c>
      <c r="O45" s="39">
        <f t="shared" ca="1" si="15"/>
        <v>-18.384000000000043</v>
      </c>
      <c r="P45" s="39">
        <f t="shared" ca="1" si="16"/>
        <v>-1.4861737009784943</v>
      </c>
      <c r="Q45" s="39">
        <f t="shared" ca="1" si="17"/>
        <v>564.60672</v>
      </c>
      <c r="R45" s="41">
        <f t="shared" ca="1" si="18"/>
        <v>11.772943322574333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19"/>
        <v>0.68000000000000027</v>
      </c>
      <c r="L46" s="39">
        <f t="shared" si="12"/>
        <v>24.480000000000011</v>
      </c>
      <c r="M46" s="40">
        <f t="shared" si="13"/>
        <v>6.3999999999999932</v>
      </c>
      <c r="N46" s="39">
        <f t="shared" ca="1" si="14"/>
        <v>-7.0449915667710372E-5</v>
      </c>
      <c r="O46" s="39">
        <f t="shared" ca="1" si="15"/>
        <v>-23.136000000000067</v>
      </c>
      <c r="P46" s="39">
        <f t="shared" ca="1" si="16"/>
        <v>-1.8703282607614482</v>
      </c>
      <c r="Q46" s="39">
        <f t="shared" ca="1" si="17"/>
        <v>549.64224000000002</v>
      </c>
      <c r="R46" s="41">
        <f t="shared" ca="1" si="18"/>
        <v>11.460910240694265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19"/>
        <v>0.70000000000000029</v>
      </c>
      <c r="L47" s="39">
        <f t="shared" si="12"/>
        <v>25.20000000000001</v>
      </c>
      <c r="M47" s="40">
        <f t="shared" si="13"/>
        <v>5.9999999999999947</v>
      </c>
      <c r="N47" s="39">
        <f t="shared" ca="1" si="14"/>
        <v>-6.7786594334606559E-5</v>
      </c>
      <c r="O47" s="39">
        <f t="shared" ca="1" si="15"/>
        <v>-27.600000000000051</v>
      </c>
      <c r="P47" s="39">
        <f t="shared" ca="1" si="16"/>
        <v>-2.2312007260120987</v>
      </c>
      <c r="Q47" s="39">
        <f t="shared" ca="1" si="17"/>
        <v>531.3599999999999</v>
      </c>
      <c r="R47" s="41">
        <f t="shared" ca="1" si="18"/>
        <v>11.079696614101753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-1.3642420526593924E-12</v>
      </c>
      <c r="J48" s="87"/>
      <c r="K48" s="29">
        <f t="shared" si="19"/>
        <v>0.72000000000000031</v>
      </c>
      <c r="L48" s="39">
        <f t="shared" si="12"/>
        <v>25.920000000000012</v>
      </c>
      <c r="M48" s="40">
        <f t="shared" si="13"/>
        <v>5.5999999999999925</v>
      </c>
      <c r="N48" s="39">
        <f t="shared" ca="1" si="14"/>
        <v>-6.481126686494346E-5</v>
      </c>
      <c r="O48" s="39">
        <f t="shared" ca="1" si="15"/>
        <v>-31.776000000000096</v>
      </c>
      <c r="P48" s="39">
        <f t="shared" ca="1" si="16"/>
        <v>-2.5687910967304539</v>
      </c>
      <c r="Q48" s="39">
        <f t="shared" ca="1" si="17"/>
        <v>509.9673599999997</v>
      </c>
      <c r="R48" s="41">
        <f t="shared" ca="1" si="18"/>
        <v>10.633626226841328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19"/>
        <v>0.74000000000000032</v>
      </c>
      <c r="L49" s="39">
        <f t="shared" si="12"/>
        <v>26.640000000000011</v>
      </c>
      <c r="M49" s="40">
        <f t="shared" si="13"/>
        <v>5.199999999999994</v>
      </c>
      <c r="N49" s="39">
        <f t="shared" ca="1" si="14"/>
        <v>-6.1536490655530123E-5</v>
      </c>
      <c r="O49" s="39">
        <f t="shared" ca="1" si="15"/>
        <v>-35.664000000000058</v>
      </c>
      <c r="P49" s="39">
        <f t="shared" ca="1" si="16"/>
        <v>-2.8830993729165026</v>
      </c>
      <c r="Q49" s="39">
        <f t="shared" ca="1" si="17"/>
        <v>485.67167999999981</v>
      </c>
      <c r="R49" s="41">
        <f t="shared" ca="1" si="18"/>
        <v>10.127022862957523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19"/>
        <v>0.76000000000000034</v>
      </c>
      <c r="L50" s="39">
        <f t="shared" si="12"/>
        <v>27.360000000000014</v>
      </c>
      <c r="M50" s="40">
        <f t="shared" si="13"/>
        <v>4.7999999999999918</v>
      </c>
      <c r="N50" s="39">
        <f t="shared" ca="1" si="14"/>
        <v>-5.7976528553995305E-5</v>
      </c>
      <c r="O50" s="39">
        <f t="shared" ca="1" si="15"/>
        <v>-39.264000000000067</v>
      </c>
      <c r="P50" s="39">
        <f t="shared" ca="1" si="16"/>
        <v>-3.1741255545702547</v>
      </c>
      <c r="Q50" s="39">
        <f t="shared" ca="1" si="17"/>
        <v>458.68031999999926</v>
      </c>
      <c r="R50" s="41">
        <f t="shared" ca="1" si="18"/>
        <v>9.5642103064948465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19"/>
        <v>0.78000000000000036</v>
      </c>
      <c r="L51" s="39">
        <f t="shared" si="12"/>
        <v>28.080000000000013</v>
      </c>
      <c r="M51" s="40">
        <f t="shared" si="13"/>
        <v>4.3999999999999915</v>
      </c>
      <c r="N51" s="39">
        <f t="shared" ca="1" si="14"/>
        <v>-5.414722704087145E-5</v>
      </c>
      <c r="O51" s="39">
        <f t="shared" ca="1" si="15"/>
        <v>-42.57600000000005</v>
      </c>
      <c r="P51" s="39">
        <f t="shared" ca="1" si="16"/>
        <v>-3.4418696416917047</v>
      </c>
      <c r="Q51" s="39">
        <f t="shared" ca="1" si="17"/>
        <v>429.20063999999934</v>
      </c>
      <c r="R51" s="41">
        <f t="shared" ca="1" si="18"/>
        <v>8.9495123414978526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19"/>
        <v>0.80000000000000038</v>
      </c>
      <c r="L52" s="39">
        <f t="shared" si="12"/>
        <v>28.800000000000015</v>
      </c>
      <c r="M52" s="40">
        <f t="shared" si="13"/>
        <v>3.9999999999999893</v>
      </c>
      <c r="N52" s="39">
        <f t="shared" ca="1" si="14"/>
        <v>-5.0065894411679339E-5</v>
      </c>
      <c r="O52" s="39">
        <f t="shared" ca="1" si="15"/>
        <v>-45.600000000000051</v>
      </c>
      <c r="P52" s="39">
        <f t="shared" ca="1" si="16"/>
        <v>-3.6863316342808559</v>
      </c>
      <c r="Q52" s="39">
        <f t="shared" ca="1" si="17"/>
        <v>397.43999999999926</v>
      </c>
      <c r="R52" s="41">
        <f t="shared" ca="1" si="18"/>
        <v>8.287252752011053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19"/>
        <v>0.8200000000000004</v>
      </c>
      <c r="L53" s="39">
        <f t="shared" si="12"/>
        <v>29.520000000000014</v>
      </c>
      <c r="M53" s="40">
        <f t="shared" si="13"/>
        <v>3.5999999999999908</v>
      </c>
      <c r="N53" s="39">
        <f t="shared" ca="1" si="14"/>
        <v>-4.5751178959012366E-5</v>
      </c>
      <c r="O53" s="39">
        <f t="shared" ca="1" si="15"/>
        <v>-48.336000000000041</v>
      </c>
      <c r="P53" s="39">
        <f t="shared" ca="1" si="16"/>
        <v>-3.9075115323377063</v>
      </c>
      <c r="Q53" s="39">
        <f t="shared" ca="1" si="17"/>
        <v>363.60575999999924</v>
      </c>
      <c r="R53" s="41">
        <f t="shared" ca="1" si="18"/>
        <v>7.5817553220789806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19"/>
        <v>0.84000000000000041</v>
      </c>
      <c r="L54" s="39">
        <f t="shared" si="12"/>
        <v>30.240000000000016</v>
      </c>
      <c r="M54" s="40">
        <f t="shared" si="13"/>
        <v>3.1999999999999886</v>
      </c>
      <c r="N54" s="39">
        <f t="shared" ca="1" si="14"/>
        <v>-4.1222947154620731E-5</v>
      </c>
      <c r="O54" s="39">
        <f t="shared" ca="1" si="15"/>
        <v>-50.784000000000049</v>
      </c>
      <c r="P54" s="39">
        <f t="shared" ca="1" si="16"/>
        <v>-4.1054093358622579</v>
      </c>
      <c r="Q54" s="39">
        <f t="shared" ca="1" si="17"/>
        <v>327.90527999999904</v>
      </c>
      <c r="R54" s="41">
        <f t="shared" ca="1" si="18"/>
        <v>6.8373438357461556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19"/>
        <v>0.86000000000000043</v>
      </c>
      <c r="L55" s="39">
        <f t="shared" si="12"/>
        <v>30.960000000000015</v>
      </c>
      <c r="M55" s="40">
        <f t="shared" si="13"/>
        <v>2.7999999999999901</v>
      </c>
      <c r="N55" s="39">
        <f t="shared" ca="1" si="14"/>
        <v>-3.6502161831497283E-5</v>
      </c>
      <c r="O55" s="39">
        <f t="shared" ca="1" si="15"/>
        <v>-52.944000000000017</v>
      </c>
      <c r="P55" s="39">
        <f t="shared" ca="1" si="16"/>
        <v>-4.2800250448545061</v>
      </c>
      <c r="Q55" s="39">
        <f t="shared" ca="1" si="17"/>
        <v>290.54591999999934</v>
      </c>
      <c r="R55" s="41">
        <f t="shared" ca="1" si="18"/>
        <v>6.0583420770571212</v>
      </c>
    </row>
    <row r="56" spans="1:18">
      <c r="A56" s="45"/>
      <c r="B56" s="45"/>
      <c r="C56" s="45"/>
      <c r="D56" s="129" t="s">
        <v>326</v>
      </c>
      <c r="E56" s="130">
        <f ca="1">((-(b^2)/2 + b^3/(3*L))*Ra + ((b - L)^3*Rb)/(3*L) +  ((-a+ b)^3*(-a - 3*b + 4*L)*wb)/(24*L) +  ((-a + b)^3*(-4*a^2 - 12*a*b - 4*b^2 + 15*a*L + 5*b*L)*wm)  /(120*L))/(E*Ix)</f>
        <v>-6.2418757436283749E-6</v>
      </c>
      <c r="F56" s="45"/>
      <c r="G56" s="45"/>
      <c r="H56" s="45"/>
      <c r="I56" s="45"/>
      <c r="J56" s="87"/>
      <c r="K56" s="29">
        <f t="shared" si="19"/>
        <v>0.88000000000000045</v>
      </c>
      <c r="L56" s="39">
        <f t="shared" si="12"/>
        <v>31.680000000000017</v>
      </c>
      <c r="M56" s="40">
        <f t="shared" si="13"/>
        <v>2.3999999999999879</v>
      </c>
      <c r="N56" s="39">
        <f t="shared" ca="1" si="14"/>
        <v>-3.1610760365957322E-5</v>
      </c>
      <c r="O56" s="39">
        <f t="shared" ca="1" si="15"/>
        <v>-54.816000000000059</v>
      </c>
      <c r="P56" s="39">
        <f t="shared" ca="1" si="16"/>
        <v>-4.4313586593144603</v>
      </c>
      <c r="Q56" s="39">
        <f t="shared" ca="1" si="17"/>
        <v>251.73503999999889</v>
      </c>
      <c r="R56" s="41">
        <f t="shared" ca="1" si="18"/>
        <v>5.2490738300563793</v>
      </c>
    </row>
    <row r="57" spans="1:18">
      <c r="A57" s="45"/>
      <c r="B57" s="45"/>
      <c r="C57" s="45"/>
      <c r="D57" s="129" t="s">
        <v>327</v>
      </c>
      <c r="E57" s="130">
        <f xml:space="preserve"> 0</f>
        <v>0</v>
      </c>
      <c r="F57" s="45"/>
      <c r="G57" s="45"/>
      <c r="H57" s="45"/>
      <c r="I57" s="45"/>
      <c r="J57" s="87"/>
      <c r="K57" s="29">
        <f t="shared" si="19"/>
        <v>0.90000000000000047</v>
      </c>
      <c r="L57" s="39">
        <f t="shared" si="12"/>
        <v>32.40000000000002</v>
      </c>
      <c r="M57" s="40">
        <f t="shared" si="13"/>
        <v>1.9999999999999893</v>
      </c>
      <c r="N57" s="39">
        <f t="shared" ca="1" si="14"/>
        <v>-2.6571532859727859E-5</v>
      </c>
      <c r="O57" s="39">
        <f t="shared" ca="1" si="15"/>
        <v>-56.400000000000006</v>
      </c>
      <c r="P57" s="39">
        <f t="shared" ca="1" si="16"/>
        <v>-4.5594101792421071</v>
      </c>
      <c r="Q57" s="39">
        <f t="shared" ca="1" si="17"/>
        <v>211.67999999999938</v>
      </c>
      <c r="R57" s="41">
        <f t="shared" ca="1" si="18"/>
        <v>4.4138628787884908</v>
      </c>
    </row>
    <row r="58" spans="1:18">
      <c r="A58" s="45"/>
      <c r="B58" s="45"/>
      <c r="C58" s="45"/>
      <c r="D58" s="129" t="s">
        <v>328</v>
      </c>
      <c r="E58" s="130">
        <f ca="1">((-(b^2)/2 + b^3/(3*L))*Ra + ((b - L)^3*Rb)/(3*L) +  ((a^4 - 6*a^2*b^2 + 8*a*b^3 - 3*b^4 + 12*a^2*b*L - 12*a*b^2*L +  4*b^3*L)*wb)/(24*L) + ((4*a^5 - 20*a^3*b^2 + 20*a^2*b^3 - 4*b^5  + 40*a^3*b*L - 30*a^2*b^2*L + 5*b^4*L)*wm)/(120*L))/(E*Ix)</f>
        <v>7.5269678084930403E-6</v>
      </c>
      <c r="F58" s="45"/>
      <c r="G58" s="45"/>
      <c r="H58" s="45"/>
      <c r="I58" s="45"/>
      <c r="J58" s="87"/>
      <c r="K58" s="29">
        <f t="shared" si="19"/>
        <v>0.92000000000000048</v>
      </c>
      <c r="L58" s="39">
        <f t="shared" si="12"/>
        <v>33.120000000000019</v>
      </c>
      <c r="M58" s="40">
        <f t="shared" si="13"/>
        <v>1.5999999999999872</v>
      </c>
      <c r="N58" s="39">
        <f t="shared" ca="1" si="14"/>
        <v>-2.1408000322030646E-5</v>
      </c>
      <c r="O58" s="39">
        <f t="shared" ca="1" si="15"/>
        <v>-57.696000000000026</v>
      </c>
      <c r="P58" s="39">
        <f t="shared" ca="1" si="16"/>
        <v>-4.6641796046374591</v>
      </c>
      <c r="Q58" s="39">
        <f t="shared" ca="1" si="17"/>
        <v>170.58815999999911</v>
      </c>
      <c r="R58" s="41">
        <f t="shared" ca="1" si="18"/>
        <v>3.5570330072979499</v>
      </c>
    </row>
    <row r="59" spans="1:18" ht="15">
      <c r="A59" s="45"/>
      <c r="B59" s="45"/>
      <c r="C59" s="131"/>
      <c r="D59" s="129" t="s">
        <v>342</v>
      </c>
      <c r="E59" s="130">
        <f>(-(a^4*wb)/24 - (a^5*wm)/30)/(E*Ix)</f>
        <v>-5.9481404145164514E-5</v>
      </c>
      <c r="F59" s="45"/>
      <c r="G59" s="45"/>
      <c r="H59" s="45"/>
      <c r="I59" s="45"/>
      <c r="J59" s="87"/>
      <c r="K59" s="29">
        <f t="shared" si="19"/>
        <v>0.9400000000000005</v>
      </c>
      <c r="L59" s="39">
        <f t="shared" si="12"/>
        <v>33.840000000000018</v>
      </c>
      <c r="M59" s="40">
        <f t="shared" si="13"/>
        <v>1.1999999999999886</v>
      </c>
      <c r="N59" s="39">
        <f t="shared" ca="1" si="14"/>
        <v>-1.6144292851665037E-5</v>
      </c>
      <c r="O59" s="39">
        <f t="shared" ca="1" si="15"/>
        <v>-58.704000000000008</v>
      </c>
      <c r="P59" s="39">
        <f t="shared" ca="1" si="16"/>
        <v>-4.7456669355005081</v>
      </c>
      <c r="Q59" s="39">
        <f t="shared" ca="1" si="17"/>
        <v>128.66687999999954</v>
      </c>
      <c r="R59" s="41">
        <f t="shared" ca="1" si="18"/>
        <v>2.6829079996293128</v>
      </c>
    </row>
    <row r="60" spans="1:18" ht="15">
      <c r="A60" s="45"/>
      <c r="B60" s="45"/>
      <c r="C60" s="131"/>
      <c r="D60" s="129" t="s">
        <v>343</v>
      </c>
      <c r="E60" s="130">
        <f ca="1">((b^3*Ra)/(3*L) + (-(b^2)/2 + b^3/(3*L) - L^2/3)*Rb +  ((a - b)^3*(a + 3*b)*wb)/(24*L) +  ((a - b)^3*(a^2 + 3*a*b + b^2)*wm)/(30*L))/(E*Ix)</f>
        <v>-3.6533331558295485E-5</v>
      </c>
      <c r="F60" s="45"/>
      <c r="G60" s="45"/>
      <c r="H60" s="45"/>
      <c r="I60" s="45"/>
      <c r="J60" s="87"/>
      <c r="K60" s="29">
        <f t="shared" si="19"/>
        <v>0.96000000000000052</v>
      </c>
      <c r="L60" s="39">
        <f t="shared" si="12"/>
        <v>34.560000000000016</v>
      </c>
      <c r="M60" s="40">
        <f t="shared" si="13"/>
        <v>0.79999999999999005</v>
      </c>
      <c r="N60" s="39">
        <f t="shared" ca="1" si="14"/>
        <v>-1.0805027819093318E-5</v>
      </c>
      <c r="O60" s="39">
        <f t="shared" ca="1" si="15"/>
        <v>-59.423999999999978</v>
      </c>
      <c r="P60" s="39">
        <f t="shared" ca="1" si="16"/>
        <v>-4.803872171831256</v>
      </c>
      <c r="Q60" s="39">
        <f t="shared" ca="1" si="17"/>
        <v>86.123519999999644</v>
      </c>
      <c r="R60" s="41">
        <f t="shared" ca="1" si="18"/>
        <v>1.7958116398270869</v>
      </c>
    </row>
    <row r="61" spans="1:18">
      <c r="A61" s="45"/>
      <c r="B61" s="45"/>
      <c r="C61" s="45"/>
      <c r="D61" s="129" t="s">
        <v>344</v>
      </c>
      <c r="E61" s="130">
        <f ca="1">(-(b^3*Ra)/3 + (-b^3/3 + (b^2*L)/2)*Rb +  ((-a + b)^3*(a + 3*b)*wb)/24 +  ((-a + b)^3*(a^2 + 3*a*b + b^2)*wm)/30)/(E*Ix)</f>
        <v>2.5775275129571291E-4</v>
      </c>
      <c r="F61" s="45"/>
      <c r="G61" s="45"/>
      <c r="H61" s="45"/>
      <c r="I61" s="45"/>
      <c r="J61" s="87"/>
      <c r="K61" s="29">
        <f t="shared" si="19"/>
        <v>0.98000000000000054</v>
      </c>
      <c r="L61" s="39">
        <f t="shared" si="12"/>
        <v>35.280000000000022</v>
      </c>
      <c r="M61" s="40">
        <f t="shared" si="13"/>
        <v>0.39999999999998792</v>
      </c>
      <c r="N61" s="39">
        <f t="shared" ca="1" si="14"/>
        <v>-5.4151880485249818E-6</v>
      </c>
      <c r="O61" s="39">
        <f t="shared" ca="1" si="15"/>
        <v>-59.856000000000023</v>
      </c>
      <c r="P61" s="39">
        <f t="shared" ca="1" si="16"/>
        <v>-4.8387953136297099</v>
      </c>
      <c r="Q61" s="39">
        <f t="shared" ca="1" si="17"/>
        <v>43.165439999999307</v>
      </c>
      <c r="R61" s="41">
        <f t="shared" ca="1" si="18"/>
        <v>0.90006771193579649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19"/>
        <v>1.0000000000000004</v>
      </c>
      <c r="L62" s="42">
        <f t="shared" si="12"/>
        <v>36.000000000000014</v>
      </c>
      <c r="M62" s="43">
        <f t="shared" si="13"/>
        <v>-7.1054273576010019E-15</v>
      </c>
      <c r="N62" s="42">
        <f t="shared" ca="1" si="14"/>
        <v>-2.7105054312137611E-20</v>
      </c>
      <c r="O62" s="42">
        <f t="shared" ca="1" si="15"/>
        <v>-60</v>
      </c>
      <c r="P62" s="42">
        <f t="shared" ca="1" si="16"/>
        <v>-4.8504363608958574</v>
      </c>
      <c r="Q62" s="42">
        <f t="shared" ca="1" si="17"/>
        <v>-1.3642420526593924E-12</v>
      </c>
      <c r="R62" s="44">
        <f t="shared" ca="1" si="18"/>
        <v>-2.8446605035504175E-14</v>
      </c>
    </row>
    <row r="63" spans="1:18" ht="13.5" thickTop="1">
      <c r="J63" s="320"/>
    </row>
    <row r="64" spans="1:18">
      <c r="J64" s="320"/>
    </row>
    <row r="65" spans="10:10">
      <c r="J65" s="320"/>
    </row>
    <row r="66" spans="10:10">
      <c r="J66" s="320"/>
    </row>
    <row r="67" spans="10:10">
      <c r="J67" s="320"/>
    </row>
    <row r="68" spans="10:10">
      <c r="J68" s="320"/>
    </row>
    <row r="69" spans="10:10">
      <c r="J69" s="320"/>
    </row>
    <row r="70" spans="10:10">
      <c r="J70" s="320"/>
    </row>
    <row r="71" spans="10:10">
      <c r="J71" s="320"/>
    </row>
    <row r="72" spans="10:10">
      <c r="J72" s="320"/>
    </row>
    <row r="73" spans="10:10">
      <c r="J73" s="320"/>
    </row>
    <row r="74" spans="10:10">
      <c r="J74" s="320"/>
    </row>
    <row r="75" spans="10:10">
      <c r="J75" s="320"/>
    </row>
    <row r="76" spans="10:10">
      <c r="J76" s="320"/>
    </row>
    <row r="77" spans="10:10">
      <c r="J77" s="320"/>
    </row>
    <row r="78" spans="10:10">
      <c r="J78" s="320"/>
    </row>
    <row r="79" spans="10:10">
      <c r="J79" s="320"/>
    </row>
    <row r="80" spans="10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password="C4AC" sheet="1" objects="1" scenarios="1"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5" orientation="landscape" horizontalDpi="4294967292" verticalDpi="4294967292"/>
  <headerFooter alignWithMargins="0"/>
  <drawing r:id="rId1"/>
  <legacyDrawing r:id="rId2"/>
  <oleObjects>
    <oleObject progId="MSPhotoEd.3" shapeId="18455" r:id="rId3"/>
    <oleObject progId="MSPhotoEd.3" shapeId="18456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 syncHorizontal="1" syncRef="A1" codeName="Sheet11">
    <pageSetUpPr fitToPage="1"/>
  </sheetPr>
  <dimension ref="A1:T96"/>
  <sheetViews>
    <sheetView showGridLines="0" defaultGridColor="0" colorId="8" workbookViewId="0">
      <selection activeCell="D6" sqref="D6"/>
    </sheetView>
  </sheetViews>
  <sheetFormatPr defaultColWidth="10.7109375" defaultRowHeight="12.75"/>
  <cols>
    <col min="1" max="1" width="6.140625" style="304" customWidth="1"/>
    <col min="2" max="3" width="8.7109375" style="304" customWidth="1"/>
    <col min="4" max="4" width="16" style="304" customWidth="1"/>
    <col min="5" max="5" width="8.7109375" style="304" customWidth="1"/>
    <col min="6" max="6" width="9.7109375" style="304" customWidth="1"/>
    <col min="7" max="7" width="7.42578125" style="304" customWidth="1"/>
    <col min="8" max="8" width="1.42578125" style="304" customWidth="1"/>
    <col min="9" max="9" width="8.42578125" style="304" customWidth="1"/>
    <col min="10" max="10" width="1.85546875" style="304" customWidth="1"/>
    <col min="11" max="11" width="8" style="304" customWidth="1"/>
    <col min="12" max="12" width="8.28515625" style="304" customWidth="1"/>
    <col min="13" max="16384" width="10.7109375" style="304"/>
  </cols>
  <sheetData>
    <row r="1" spans="1:20" ht="13.5" thickBo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20" ht="13.5" thickTop="1">
      <c r="A2" s="98"/>
      <c r="B2" s="99"/>
      <c r="C2" s="100"/>
      <c r="D2" s="100"/>
      <c r="E2" s="52"/>
      <c r="F2" s="75"/>
      <c r="G2" s="75"/>
      <c r="H2" s="75"/>
      <c r="I2" s="75"/>
      <c r="J2" s="45"/>
      <c r="K2" s="45"/>
      <c r="L2" s="98"/>
      <c r="M2" s="98"/>
      <c r="N2" s="98"/>
      <c r="O2" s="94"/>
      <c r="P2" s="75"/>
      <c r="Q2" s="75"/>
      <c r="R2" s="75"/>
    </row>
    <row r="3" spans="1:20" ht="13.5" thickBot="1">
      <c r="A3" s="98"/>
      <c r="B3" s="101"/>
      <c r="C3" s="102" t="s">
        <v>290</v>
      </c>
      <c r="D3" s="102"/>
      <c r="E3" s="103"/>
      <c r="F3" s="75"/>
      <c r="G3" s="75"/>
      <c r="H3" s="75"/>
      <c r="I3" s="75"/>
      <c r="J3" s="45"/>
      <c r="K3" s="45"/>
      <c r="L3" s="45"/>
      <c r="M3" s="45"/>
      <c r="N3" s="45"/>
      <c r="O3" s="45"/>
      <c r="P3" s="45"/>
      <c r="Q3" s="45"/>
      <c r="R3" s="45"/>
    </row>
    <row r="4" spans="1:20" ht="17.25" thickTop="1" thickBot="1">
      <c r="A4" s="98"/>
      <c r="B4" s="57"/>
      <c r="C4" s="104" t="s">
        <v>345</v>
      </c>
      <c r="D4" s="104"/>
      <c r="E4" s="59"/>
      <c r="F4" s="95" t="str">
        <f ca="1">IF(IsValidUser, CopyrightNotice,"• Stop robbing us  &amp; register this software. •")</f>
        <v>© 1991-2008 WDV™</v>
      </c>
      <c r="G4" s="45"/>
      <c r="H4" s="45"/>
      <c r="I4" s="46"/>
      <c r="J4" s="45"/>
      <c r="K4" s="47"/>
      <c r="L4" s="48" t="s">
        <v>345</v>
      </c>
      <c r="M4" s="49"/>
      <c r="N4" s="45"/>
      <c r="O4" s="45"/>
      <c r="P4" s="45"/>
      <c r="Q4" s="45"/>
      <c r="R4" s="45"/>
    </row>
    <row r="5" spans="1:20" ht="17.25" thickTop="1" thickBot="1">
      <c r="A5" s="98"/>
      <c r="B5" s="105"/>
      <c r="C5" s="106"/>
      <c r="D5" s="48" t="s">
        <v>374</v>
      </c>
      <c r="E5" s="106"/>
      <c r="F5" s="49"/>
      <c r="G5" s="50"/>
      <c r="H5" s="51" t="s">
        <v>68</v>
      </c>
      <c r="I5" s="52"/>
      <c r="J5" s="45"/>
      <c r="K5" s="53" t="s">
        <v>293</v>
      </c>
      <c r="L5" s="54" t="s">
        <v>260</v>
      </c>
      <c r="M5" s="55" t="s">
        <v>332</v>
      </c>
      <c r="N5" s="54" t="s">
        <v>295</v>
      </c>
      <c r="O5" s="54" t="s">
        <v>296</v>
      </c>
      <c r="P5" s="54" t="s">
        <v>297</v>
      </c>
      <c r="Q5" s="54" t="s">
        <v>298</v>
      </c>
      <c r="R5" s="56" t="s">
        <v>298</v>
      </c>
    </row>
    <row r="6" spans="1:20" ht="17.25" thickTop="1" thickBot="1">
      <c r="A6" s="107"/>
      <c r="B6" s="329"/>
      <c r="C6" s="340" t="s">
        <v>372</v>
      </c>
      <c r="D6" s="10" t="s">
        <v>371</v>
      </c>
      <c r="E6" s="330"/>
      <c r="F6" s="67"/>
      <c r="G6" s="57"/>
      <c r="H6" s="58" t="s">
        <v>126</v>
      </c>
      <c r="I6" s="59"/>
      <c r="J6" s="45"/>
      <c r="K6" s="60" t="s">
        <v>129</v>
      </c>
      <c r="L6" s="61" t="s">
        <v>301</v>
      </c>
      <c r="M6" s="62"/>
      <c r="N6" s="63"/>
      <c r="O6" s="61" t="s">
        <v>71</v>
      </c>
      <c r="P6" s="61" t="s">
        <v>303</v>
      </c>
      <c r="Q6" s="61" t="s">
        <v>252</v>
      </c>
      <c r="R6" s="64" t="s">
        <v>303</v>
      </c>
    </row>
    <row r="7" spans="1:20" ht="14.25" thickTop="1" thickBot="1">
      <c r="A7" s="107"/>
      <c r="B7" s="331"/>
      <c r="C7" s="341" t="s">
        <v>373</v>
      </c>
      <c r="D7" s="11" t="s">
        <v>370</v>
      </c>
      <c r="E7" s="332"/>
      <c r="F7" s="333"/>
      <c r="G7" s="65"/>
      <c r="H7" s="66" t="s">
        <v>304</v>
      </c>
      <c r="I7" s="67"/>
      <c r="J7" s="45"/>
      <c r="K7" s="68" t="s">
        <v>69</v>
      </c>
      <c r="L7" s="69" t="str">
        <f>DistanceUnits</f>
        <v>in</v>
      </c>
      <c r="M7" s="70" t="str">
        <f>SUBSTITUTE(SUBSTITUTE("F/D", "F", ForceUnits), "D", DistanceUnits)</f>
        <v>lb/in</v>
      </c>
      <c r="N7" s="69" t="str">
        <f>DistanceUnits</f>
        <v>in</v>
      </c>
      <c r="O7" s="69" t="str">
        <f>ForceUnits</f>
        <v>lb</v>
      </c>
      <c r="P7" s="69" t="str">
        <f>SUBSTITUTE(SUBSTITUTE("F/D^2", "D", DistanceUnits), "F", ForceUnits)</f>
        <v>lb/in^2</v>
      </c>
      <c r="Q7" s="69" t="str">
        <f>SUBSTITUTE(SUBSTITUTE("F-D", "D", DistanceUnits), "F", ForceUnits)</f>
        <v>lb-in</v>
      </c>
      <c r="R7" s="71" t="str">
        <f>SUBSTITUTE(SUBSTITUTE("F/D^2", "D", DistanceUnits), "F", ForceUnits)</f>
        <v>lb/in^2</v>
      </c>
    </row>
    <row r="8" spans="1:20" ht="14.25" thickTop="1" thickBot="1">
      <c r="A8" s="110"/>
      <c r="B8" s="47"/>
      <c r="C8" s="334" t="s">
        <v>346</v>
      </c>
      <c r="D8" s="335">
        <f ca="1">IF(INDIRECT(SUBSTITUTE("'S'!L", "S", SheetA)) =                       INDIRECT(SUBSTITUTE("'S'!L", "S", SheetB)),                                                INDIRECT(SUBSTITUTE("'S'!L", "S", SheetA)), "BAD LENGTH")</f>
        <v>36</v>
      </c>
      <c r="E8" s="106" t="str">
        <f>DistanceUnits</f>
        <v>in</v>
      </c>
      <c r="F8" s="49"/>
      <c r="G8" s="72"/>
      <c r="H8" s="73" t="str">
        <f>[0]!ActiveMaterial</f>
        <v>Fiberglass 7781 Bidirectional</v>
      </c>
      <c r="I8" s="74"/>
      <c r="J8" s="75"/>
      <c r="K8" s="24"/>
      <c r="L8" s="25" t="s">
        <v>309</v>
      </c>
      <c r="M8" s="26">
        <f t="shared" ref="M8:R8" ca="1" si="0">MIN(M12:M62)</f>
        <v>-7.1054273576010019E-15</v>
      </c>
      <c r="N8" s="27">
        <f t="shared" ca="1" si="0"/>
        <v>-1.585069575864409E-4</v>
      </c>
      <c r="O8" s="27">
        <f t="shared" ca="1" si="0"/>
        <v>-89.950027772633746</v>
      </c>
      <c r="P8" s="27">
        <f t="shared" ca="1" si="0"/>
        <v>-7.2716147561995816</v>
      </c>
      <c r="Q8" s="27">
        <f t="shared" ca="1" si="0"/>
        <v>-1.7898575460525556E-12</v>
      </c>
      <c r="R8" s="28">
        <f t="shared" ca="1" si="0"/>
        <v>-3.7321361398530144E-14</v>
      </c>
    </row>
    <row r="9" spans="1:20" ht="13.5" thickTop="1">
      <c r="A9" s="110"/>
      <c r="B9" s="121"/>
      <c r="C9" s="122"/>
      <c r="D9" s="123" t="str">
        <f>IF(AND(LEFT(SheetA, 1) = "S", LEFT(SheetB, 1) = "S"), "", "ERROR: Must use a Simply Supported Sheet")</f>
        <v/>
      </c>
      <c r="E9" s="122"/>
      <c r="F9" s="121"/>
      <c r="G9" s="76"/>
      <c r="H9" s="66" t="s">
        <v>310</v>
      </c>
      <c r="I9" s="52"/>
      <c r="J9" s="75"/>
      <c r="K9" s="29"/>
      <c r="L9" s="30" t="s">
        <v>311</v>
      </c>
      <c r="M9" s="31">
        <f t="shared" ref="M9:R9" ca="1" si="1">MAX(M12:M62)</f>
        <v>9.9999999999999982</v>
      </c>
      <c r="N9" s="32">
        <f t="shared" ca="1" si="1"/>
        <v>1.8973538018496328E-19</v>
      </c>
      <c r="O9" s="32">
        <f t="shared" ca="1" si="1"/>
        <v>89.950000005144034</v>
      </c>
      <c r="P9" s="32">
        <f t="shared" ca="1" si="1"/>
        <v>7.2716125114588861</v>
      </c>
      <c r="Q9" s="32">
        <f t="shared" ca="1" si="1"/>
        <v>1079.1004999074073</v>
      </c>
      <c r="R9" s="33">
        <f t="shared" ca="1" si="1"/>
        <v>22.500952565303393</v>
      </c>
    </row>
    <row r="10" spans="1:20" ht="13.5" thickBot="1">
      <c r="A10" s="110"/>
      <c r="B10" s="121"/>
      <c r="C10" s="122"/>
      <c r="D10" s="122"/>
      <c r="E10" s="122"/>
      <c r="F10" s="121"/>
      <c r="G10" s="77"/>
      <c r="H10" s="78" t="str">
        <f>[0]!ActiveSection</f>
        <v>Elliptical</v>
      </c>
      <c r="I10" s="79"/>
      <c r="J10" s="45"/>
      <c r="K10" s="29"/>
      <c r="L10" s="30" t="s">
        <v>312</v>
      </c>
      <c r="M10" s="31">
        <f t="shared" ref="M10:R10" ca="1" si="2">IF(M9&gt;ABS(M8),M9,M8)</f>
        <v>9.9999999999999982</v>
      </c>
      <c r="N10" s="32">
        <f t="shared" ca="1" si="2"/>
        <v>-1.585069575864409E-4</v>
      </c>
      <c r="O10" s="32">
        <f t="shared" ca="1" si="2"/>
        <v>-89.950027772633746</v>
      </c>
      <c r="P10" s="32">
        <f t="shared" ca="1" si="2"/>
        <v>-7.2716147561995816</v>
      </c>
      <c r="Q10" s="32">
        <f t="shared" ca="1" si="2"/>
        <v>1079.1004999074073</v>
      </c>
      <c r="R10" s="33">
        <f t="shared" ca="1" si="2"/>
        <v>22.500952565303393</v>
      </c>
    </row>
    <row r="11" spans="1:20" ht="14.25" thickTop="1" thickBot="1">
      <c r="A11" s="45"/>
      <c r="B11" s="121"/>
      <c r="C11" s="122"/>
      <c r="D11" s="122"/>
      <c r="E11" s="122"/>
      <c r="F11" s="121"/>
      <c r="G11" s="80" t="s">
        <v>300</v>
      </c>
      <c r="H11" s="45"/>
      <c r="I11" s="80" t="s">
        <v>300</v>
      </c>
      <c r="J11" s="81"/>
      <c r="K11" s="34"/>
      <c r="L11" s="35" t="s">
        <v>313</v>
      </c>
      <c r="M11" s="36">
        <f t="shared" ref="M11:R11" ca="1" si="3">OFFSET($L$11,MATCH(M10,M12:M62,0),0)</f>
        <v>18.000000000000004</v>
      </c>
      <c r="N11" s="37">
        <f t="shared" ca="1" si="3"/>
        <v>18.000000000000004</v>
      </c>
      <c r="O11" s="37">
        <f t="shared" ca="1" si="3"/>
        <v>36.000000000000014</v>
      </c>
      <c r="P11" s="37">
        <f t="shared" ca="1" si="3"/>
        <v>36.000000000000014</v>
      </c>
      <c r="Q11" s="37">
        <f t="shared" ca="1" si="3"/>
        <v>18.000000000000004</v>
      </c>
      <c r="R11" s="38">
        <f t="shared" ca="1" si="3"/>
        <v>18.000000000000004</v>
      </c>
    </row>
    <row r="12" spans="1:20" ht="13.5" thickTop="1">
      <c r="A12" s="45"/>
      <c r="B12" s="121"/>
      <c r="C12" s="122"/>
      <c r="D12" s="122"/>
      <c r="E12" s="122"/>
      <c r="F12" s="121"/>
      <c r="G12" s="82" t="s">
        <v>314</v>
      </c>
      <c r="H12" s="45"/>
      <c r="I12" s="82" t="str">
        <f>IF(ActiveUnits="SI", "Mass", "Weight")</f>
        <v>Weight</v>
      </c>
      <c r="J12" s="45"/>
      <c r="K12" s="29">
        <f>0</f>
        <v>0</v>
      </c>
      <c r="L12" s="39">
        <f t="shared" ref="L12:L43" ca="1" si="4">L*K12</f>
        <v>0</v>
      </c>
      <c r="M12" s="40">
        <f ca="1">INDIRECT(SUBSTITUTE("'S'!M12", "S", SheetA))                                       +INDIRECT(SUBSTITUTE("'S'!M12", "S", SheetB))</f>
        <v>0</v>
      </c>
      <c r="N12" s="39">
        <f ca="1">INDIRECT(SUBSTITUTE("'S'!N12", "S", SheetA))                                       +INDIRECT(SUBSTITUTE("'S'!N12", "S", SheetB))</f>
        <v>0</v>
      </c>
      <c r="O12" s="39">
        <f ca="1">INDIRECT(SUBSTITUTE("'S'!O12", "S", SheetA))                                       +INDIRECT(SUBSTITUTE("'S'!O12", "S", SheetB))</f>
        <v>89.950000005144034</v>
      </c>
      <c r="P12" s="39">
        <f ca="1">INDIRECT(SUBSTITUTE("'S'!P12", "S", SheetA))                                       +INDIRECT(SUBSTITUTE("'S'!P12", "S", SheetB))</f>
        <v>7.2716125114588861</v>
      </c>
      <c r="Q12" s="39">
        <f ca="1">INDIRECT(SUBSTITUTE("'S'!Q12", "S", SheetA))                                       +INDIRECT(SUBSTITUTE("'S'!Q12", "S", SheetB))</f>
        <v>0</v>
      </c>
      <c r="R12" s="41">
        <f ca="1">INDIRECT(SUBSTITUTE("'S'!R12", "S", SheetA))                                       +INDIRECT(SUBSTITUTE("'S'!R12", "S", SheetB))</f>
        <v>0</v>
      </c>
      <c r="T12" s="304">
        <f ca="1">INDIRECT(SUBSTITUTE("'S'!M16", "S", SheetA))                                       +INDIRECT(SUBSTITUTE("'S'!M12", "S", SheetB))</f>
        <v>1.6</v>
      </c>
    </row>
    <row r="13" spans="1:20">
      <c r="A13" s="45"/>
      <c r="B13" s="121"/>
      <c r="C13" s="122"/>
      <c r="D13" s="122"/>
      <c r="E13" s="122"/>
      <c r="F13" s="121"/>
      <c r="G13" s="82">
        <f ca="1">INDIRECT(SUBSTITUTE("'S'!G13", "S", SheetA))</f>
        <v>445.32075864635317</v>
      </c>
      <c r="H13" s="45"/>
      <c r="I13" s="83">
        <f ca="1">INDIRECT(SUBSTITUTE("'S'!I13", "S", SheetA))</f>
        <v>33.844377657122841</v>
      </c>
      <c r="J13" s="45"/>
      <c r="K13" s="29">
        <f t="shared" ref="K13:K44" si="5">K12+0.02</f>
        <v>0.02</v>
      </c>
      <c r="L13" s="39">
        <f t="shared" ca="1" si="4"/>
        <v>0.72</v>
      </c>
      <c r="M13" s="40">
        <f ca="1">INDIRECT(SUBSTITUTE("'S'!M13", "S", SheetA))                                       +INDIRECT(SUBSTITUTE("'S'!M13", "S", SheetB))</f>
        <v>0.4</v>
      </c>
      <c r="N13" s="39">
        <f ca="1">INDIRECT(SUBSTITUTE("'S'!N13", "S", SheetA))                                       +INDIRECT(SUBSTITUTE("'S'!N13", "S", SheetB))</f>
        <v>-9.9006193942900727E-6</v>
      </c>
      <c r="O13" s="39">
        <f ca="1">INDIRECT(SUBSTITUTE("'S'!O13", "S", SheetA))                                       +INDIRECT(SUBSTITUTE("'S'!O13", "S", SheetB))</f>
        <v>89.806000005144028</v>
      </c>
      <c r="P13" s="39">
        <f ca="1">INDIRECT(SUBSTITUTE("'S'!P13", "S", SheetA))                                       +INDIRECT(SUBSTITUTE("'S'!P13", "S", SheetB))</f>
        <v>7.259971464192736</v>
      </c>
      <c r="Q13" s="39">
        <f ca="1">INDIRECT(SUBSTITUTE("'S'!Q13", "S", SheetA))                                       +INDIRECT(SUBSTITUTE("'S'!Q13", "S", SheetB))</f>
        <v>64.729440003703701</v>
      </c>
      <c r="R13" s="41">
        <f ca="1">INDIRECT(SUBSTITUTE("'S'!R13", "S", SheetA))                                       +INDIRECT(SUBSTITUTE("'S'!R13", "S", SheetB))</f>
        <v>1.3497112263658133</v>
      </c>
    </row>
    <row r="14" spans="1:20" ht="13.5" thickBot="1">
      <c r="A14" s="45"/>
      <c r="B14" s="124"/>
      <c r="C14" s="124"/>
      <c r="D14" s="122"/>
      <c r="E14" s="122"/>
      <c r="F14" s="121"/>
      <c r="G14" s="84" t="str">
        <f>SUBSTITUTE("D^3", "D", DistanceUnits)</f>
        <v>in^3</v>
      </c>
      <c r="H14" s="45"/>
      <c r="I14" s="84" t="str">
        <f>SUBSTITUTE("M", "M", MassNWeightUnits)</f>
        <v>lb</v>
      </c>
      <c r="J14" s="45"/>
      <c r="K14" s="29">
        <f t="shared" si="5"/>
        <v>0.04</v>
      </c>
      <c r="L14" s="39">
        <f t="shared" ca="1" si="4"/>
        <v>1.44</v>
      </c>
      <c r="M14" s="40">
        <f ca="1">INDIRECT(SUBSTITUTE("'S'!M14", "S", SheetA))                                       +INDIRECT(SUBSTITUTE("'S'!M14", "S", SheetB))</f>
        <v>0.8</v>
      </c>
      <c r="N14" s="39">
        <f ca="1">INDIRECT(SUBSTITUTE("'S'!N14", "S", SheetA))                                       +INDIRECT(SUBSTITUTE("'S'!N14", "S", SheetB))</f>
        <v>-1.9763222293347684E-5</v>
      </c>
      <c r="O14" s="39">
        <f ca="1">INDIRECT(SUBSTITUTE("'S'!O14", "S", SheetA))                                       +INDIRECT(SUBSTITUTE("'S'!O14", "S", SheetB))</f>
        <v>89.374000005144026</v>
      </c>
      <c r="P14" s="39">
        <f ca="1">INDIRECT(SUBSTITUTE("'S'!P14", "S", SheetA))                                       +INDIRECT(SUBSTITUTE("'S'!P14", "S", SheetB))</f>
        <v>7.2250483223942856</v>
      </c>
      <c r="Q14" s="39">
        <f ca="1">INDIRECT(SUBSTITUTE("'S'!Q14", "S", SheetA))                                       +INDIRECT(SUBSTITUTE("'S'!Q14", "S", SheetB))</f>
        <v>129.25152000740738</v>
      </c>
      <c r="R14" s="41">
        <f ca="1">INDIRECT(SUBSTITUTE("'S'!R14", "S", SheetA))                                       +INDIRECT(SUBSTITUTE("'S'!R14", "S", SheetB))</f>
        <v>2.6950986686870988</v>
      </c>
    </row>
    <row r="15" spans="1:20" ht="14.25" thickTop="1" thickBot="1">
      <c r="A15" s="45"/>
      <c r="B15" s="124"/>
      <c r="C15" s="124"/>
      <c r="D15" s="122"/>
      <c r="E15" s="122"/>
      <c r="F15" s="125"/>
      <c r="G15" s="45"/>
      <c r="H15" s="45"/>
      <c r="I15" s="45"/>
      <c r="J15" s="45"/>
      <c r="K15" s="29">
        <f t="shared" si="5"/>
        <v>0.06</v>
      </c>
      <c r="L15" s="39">
        <f t="shared" ca="1" si="4"/>
        <v>2.16</v>
      </c>
      <c r="M15" s="40">
        <f ca="1">INDIRECT(SUBSTITUTE("'S'!M15", "S", SheetA))                                       +INDIRECT(SUBSTITUTE("'S'!M15", "S", SheetB))</f>
        <v>1.2000000000000002</v>
      </c>
      <c r="N15" s="39">
        <f ca="1">INDIRECT(SUBSTITUTE("'S'!N15", "S", SheetA))                                       +INDIRECT(SUBSTITUTE("'S'!N15", "S", SheetB))</f>
        <v>-2.9549914019856056E-5</v>
      </c>
      <c r="O15" s="39">
        <f ca="1">INDIRECT(SUBSTITUTE("'S'!O15", "S", SheetA))                                       +INDIRECT(SUBSTITUTE("'S'!O15", "S", SheetB))</f>
        <v>88.654000005144027</v>
      </c>
      <c r="P15" s="39">
        <f ca="1">INDIRECT(SUBSTITUTE("'S'!P15", "S", SheetA))                                       +INDIRECT(SUBSTITUTE("'S'!P15", "S", SheetB))</f>
        <v>7.1668430860635359</v>
      </c>
      <c r="Q15" s="39">
        <f ca="1">INDIRECT(SUBSTITUTE("'S'!Q15", "S", SheetA))                                       +INDIRECT(SUBSTITUTE("'S'!Q15", "S", SheetB))</f>
        <v>193.35888001111113</v>
      </c>
      <c r="R15" s="41">
        <f ca="1">INDIRECT(SUBSTITUTE("'S'!R15", "S", SheetA))                                       +INDIRECT(SUBSTITUTE("'S'!R15", "S", SheetB))</f>
        <v>4.0318385429193304</v>
      </c>
    </row>
    <row r="16" spans="1:20" ht="13.5" thickTop="1">
      <c r="A16" s="45"/>
      <c r="B16" s="121"/>
      <c r="C16" s="122"/>
      <c r="D16" s="122"/>
      <c r="E16" s="122"/>
      <c r="F16" s="121"/>
      <c r="G16" s="45"/>
      <c r="H16" s="45"/>
      <c r="I16" s="80" t="s">
        <v>315</v>
      </c>
      <c r="J16" s="75"/>
      <c r="K16" s="29">
        <f t="shared" si="5"/>
        <v>0.08</v>
      </c>
      <c r="L16" s="39">
        <f t="shared" ca="1" si="4"/>
        <v>2.88</v>
      </c>
      <c r="M16" s="40">
        <f ca="1">INDIRECT(SUBSTITUTE("'S'!M16", "S", SheetA))                                       +INDIRECT(SUBSTITUTE("'S'!M16", "S", SheetB))</f>
        <v>1.6</v>
      </c>
      <c r="N16" s="39">
        <f ca="1">INDIRECT(SUBSTITUTE("'S'!N16", "S", SheetA))                                       +INDIRECT(SUBSTITUTE("'S'!N16", "S", SheetB))</f>
        <v>-3.9223043532329793E-5</v>
      </c>
      <c r="O16" s="39">
        <f ca="1">INDIRECT(SUBSTITUTE("'S'!O16", "S", SheetA))                                       +INDIRECT(SUBSTITUTE("'S'!O16", "S", SheetB))</f>
        <v>87.646000005144032</v>
      </c>
      <c r="P16" s="39">
        <f ca="1">INDIRECT(SUBSTITUTE("'S'!P16", "S", SheetA))                                       +INDIRECT(SUBSTITUTE("'S'!P16", "S", SheetB))</f>
        <v>7.0853557552004851</v>
      </c>
      <c r="Q16" s="39">
        <f ca="1">INDIRECT(SUBSTITUTE("'S'!Q16", "S", SheetA))                                       +INDIRECT(SUBSTITUTE("'S'!Q16", "S", SheetB))</f>
        <v>256.8441600148148</v>
      </c>
      <c r="R16" s="41">
        <f ca="1">INDIRECT(SUBSTITUTE("'S'!R16", "S", SheetA))                                       +INDIRECT(SUBSTITUTE("'S'!R16", "S", SheetB))</f>
        <v>5.3556070650179786</v>
      </c>
    </row>
    <row r="17" spans="1:18">
      <c r="A17" s="107" t="s">
        <v>332</v>
      </c>
      <c r="B17" s="121"/>
      <c r="C17" s="121"/>
      <c r="D17" s="121"/>
      <c r="E17" s="121"/>
      <c r="F17" s="121"/>
      <c r="G17" s="45"/>
      <c r="H17" s="45"/>
      <c r="I17" s="82" t="s">
        <v>298</v>
      </c>
      <c r="J17" s="45"/>
      <c r="K17" s="29">
        <f t="shared" si="5"/>
        <v>0.1</v>
      </c>
      <c r="L17" s="39">
        <f t="shared" ca="1" si="4"/>
        <v>3.6</v>
      </c>
      <c r="M17" s="40">
        <f ca="1">INDIRECT(SUBSTITUTE("'S'!M17", "S", SheetA))                                       +INDIRECT(SUBSTITUTE("'S'!M17", "S", SheetB))</f>
        <v>2</v>
      </c>
      <c r="N17" s="39">
        <f ca="1">INDIRECT(SUBSTITUTE("'S'!N17", "S", SheetA))                                       +INDIRECT(SUBSTITUTE("'S'!N17", "S", SheetB))</f>
        <v>-4.8745325243030582E-5</v>
      </c>
      <c r="O17" s="39">
        <f ca="1">INDIRECT(SUBSTITUTE("'S'!O17", "S", SheetA))                                       +INDIRECT(SUBSTITUTE("'S'!O17", "S", SheetB))</f>
        <v>86.350000005144025</v>
      </c>
      <c r="P17" s="39">
        <f ca="1">INDIRECT(SUBSTITUTE("'S'!P17", "S", SheetA))                                       +INDIRECT(SUBSTITUTE("'S'!P17", "S", SheetB))</f>
        <v>6.9805863298051349</v>
      </c>
      <c r="Q17" s="39">
        <f ca="1">INDIRECT(SUBSTITUTE("'S'!Q17", "S", SheetA))                                       +INDIRECT(SUBSTITUTE("'S'!Q17", "S", SheetB))</f>
        <v>319.50000001851851</v>
      </c>
      <c r="R17" s="41">
        <f ca="1">INDIRECT(SUBSTITUTE("'S'!R17", "S", SheetA))                                       +INDIRECT(SUBSTITUTE("'S'!R17", "S", SheetB))</f>
        <v>6.6620804509385172</v>
      </c>
    </row>
    <row r="18" spans="1:18">
      <c r="A18" s="45"/>
      <c r="B18" s="121"/>
      <c r="C18" s="122"/>
      <c r="D18" s="125"/>
      <c r="E18" s="126"/>
      <c r="F18" s="121"/>
      <c r="G18" s="45"/>
      <c r="H18" s="45"/>
      <c r="I18" s="82" t="s">
        <v>303</v>
      </c>
      <c r="J18" s="45"/>
      <c r="K18" s="29">
        <f t="shared" si="5"/>
        <v>0.12000000000000001</v>
      </c>
      <c r="L18" s="39">
        <f t="shared" ca="1" si="4"/>
        <v>4.32</v>
      </c>
      <c r="M18" s="40">
        <f ca="1">INDIRECT(SUBSTITUTE("'S'!M18", "S", SheetA))                                       +INDIRECT(SUBSTITUTE("'S'!M18", "S", SheetB))</f>
        <v>2.4000000000000004</v>
      </c>
      <c r="N18" s="39">
        <f ca="1">INDIRECT(SUBSTITUTE("'S'!N18", "S", SheetA))                                       +INDIRECT(SUBSTITUTE("'S'!N18", "S", SheetB))</f>
        <v>-5.8079960835882846E-5</v>
      </c>
      <c r="O18" s="39">
        <f ca="1">INDIRECT(SUBSTITUTE("'S'!O18", "S", SheetA))                                       +INDIRECT(SUBSTITUTE("'S'!O18", "S", SheetB))</f>
        <v>84.766000005144022</v>
      </c>
      <c r="P18" s="39">
        <f ca="1">INDIRECT(SUBSTITUTE("'S'!P18", "S", SheetA))                                       +INDIRECT(SUBSTITUTE("'S'!P18", "S", SheetB))</f>
        <v>6.8525348098774836</v>
      </c>
      <c r="Q18" s="39">
        <f ca="1">INDIRECT(SUBSTITUTE("'S'!Q18", "S", SheetA))                                       +INDIRECT(SUBSTITUTE("'S'!Q18", "S", SheetB))</f>
        <v>381.11904002222229</v>
      </c>
      <c r="R18" s="41">
        <f ca="1">INDIRECT(SUBSTITUTE("'S'!R18", "S", SheetA))                                       +INDIRECT(SUBSTITUTE("'S'!R18", "S", SheetB))</f>
        <v>7.9469349166364189</v>
      </c>
    </row>
    <row r="19" spans="1:18" ht="13.5" thickBot="1">
      <c r="A19" s="45"/>
      <c r="B19" s="121"/>
      <c r="C19" s="122"/>
      <c r="D19" s="125"/>
      <c r="E19" s="126"/>
      <c r="F19" s="121"/>
      <c r="G19" s="45"/>
      <c r="H19" s="45"/>
      <c r="I19" s="85">
        <f ca="1">INDIRECT(SUBSTITUTE("'S'!I19", "S", SheetA))                                       +INDIRECT(SUBSTITUTE("'S'!I19", "S", SheetB))</f>
        <v>1.0202679075620963E-3</v>
      </c>
      <c r="J19" s="45"/>
      <c r="K19" s="29">
        <f t="shared" si="5"/>
        <v>0.14000000000000001</v>
      </c>
      <c r="L19" s="39">
        <f t="shared" ca="1" si="4"/>
        <v>5.0400000000000009</v>
      </c>
      <c r="M19" s="40">
        <f ca="1">INDIRECT(SUBSTITUTE("'S'!M19", "S", SheetA))                                       +INDIRECT(SUBSTITUTE("'S'!M19", "S", SheetB))</f>
        <v>2.8000000000000007</v>
      </c>
      <c r="N19" s="39">
        <f ca="1">INDIRECT(SUBSTITUTE("'S'!N19", "S", SheetA))                                       +INDIRECT(SUBSTITUTE("'S'!N19", "S", SheetB))</f>
        <v>-6.7190761084389453E-5</v>
      </c>
      <c r="O19" s="39">
        <f ca="1">INDIRECT(SUBSTITUTE("'S'!O19", "S", SheetA))                                       +INDIRECT(SUBSTITUTE("'S'!O19", "S", SheetB))</f>
        <v>82.894000005144022</v>
      </c>
      <c r="P19" s="39">
        <f ca="1">INDIRECT(SUBSTITUTE("'S'!P19", "S", SheetA))                                       +INDIRECT(SUBSTITUTE("'S'!P19", "S", SheetB))</f>
        <v>6.701201195417533</v>
      </c>
      <c r="Q19" s="39">
        <f ca="1">INDIRECT(SUBSTITUTE("'S'!Q19", "S", SheetA))                                       +INDIRECT(SUBSTITUTE("'S'!Q19", "S", SheetB))</f>
        <v>441.49392002592595</v>
      </c>
      <c r="R19" s="41">
        <f ca="1">INDIRECT(SUBSTITUTE("'S'!R19", "S", SheetA))                                       +INDIRECT(SUBSTITUTE("'S'!R19", "S", SheetB))</f>
        <v>9.2058466780671537</v>
      </c>
    </row>
    <row r="20" spans="1:18" ht="14.25" thickTop="1" thickBot="1">
      <c r="A20" s="45"/>
      <c r="B20" s="96" t="s">
        <v>316</v>
      </c>
      <c r="C20" s="121"/>
      <c r="D20" s="121"/>
      <c r="E20" s="121"/>
      <c r="F20" s="96" t="s">
        <v>317</v>
      </c>
      <c r="G20" s="45"/>
      <c r="H20" s="45"/>
      <c r="I20" s="45"/>
      <c r="J20" s="45"/>
      <c r="K20" s="29">
        <f t="shared" si="5"/>
        <v>0.16</v>
      </c>
      <c r="L20" s="39">
        <f t="shared" ca="1" si="4"/>
        <v>5.76</v>
      </c>
      <c r="M20" s="40">
        <f ca="1">INDIRECT(SUBSTITUTE("'S'!M20", "S", SheetA))                                       +INDIRECT(SUBSTITUTE("'S'!M20", "S", SheetB))</f>
        <v>3.2</v>
      </c>
      <c r="N20" s="39">
        <f ca="1">INDIRECT(SUBSTITUTE("'S'!N20", "S", SheetA))                                       +INDIRECT(SUBSTITUTE("'S'!N20", "S", SheetB))</f>
        <v>-7.6042267669547403E-5</v>
      </c>
      <c r="O20" s="39">
        <f ca="1">INDIRECT(SUBSTITUTE("'S'!O20", "S", SheetA))                                       +INDIRECT(SUBSTITUTE("'S'!O20", "S", SheetB))</f>
        <v>80.734000005144026</v>
      </c>
      <c r="P20" s="39">
        <f ca="1">INDIRECT(SUBSTITUTE("'S'!P20", "S", SheetA))                                       +INDIRECT(SUBSTITUTE("'S'!P20", "S", SheetB))</f>
        <v>6.5265854864252821</v>
      </c>
      <c r="Q20" s="39">
        <f ca="1">INDIRECT(SUBSTITUTE("'S'!Q20", "S", SheetA))                                       +INDIRECT(SUBSTITUTE("'S'!Q20", "S", SheetB))</f>
        <v>500.41728002962952</v>
      </c>
      <c r="R20" s="41">
        <f ca="1">INDIRECT(SUBSTITUTE("'S'!R20", "S", SheetA))                                       +INDIRECT(SUBSTITUTE("'S'!R20", "S", SheetB))</f>
        <v>10.434491951186194</v>
      </c>
    </row>
    <row r="21" spans="1:18" ht="13.5" thickTop="1">
      <c r="A21" s="45"/>
      <c r="B21" s="97">
        <f ca="1">INDIRECT(SUBSTITUTE("'S'!Ra", "S", SheetA))                                        +INDIRECT(SUBSTITUTE("'S'!Ra", "S", SheetB))</f>
        <v>89.950000005144034</v>
      </c>
      <c r="C21" s="121"/>
      <c r="D21" s="121"/>
      <c r="E21" s="121"/>
      <c r="F21" s="97">
        <f ca="1">INDIRECT(SUBSTITUTE("'S'!Rb", "S", SheetA))                                        +INDIRECT(SUBSTITUTE("'S'!Rb", "S", SheetB))</f>
        <v>89.950027772633746</v>
      </c>
      <c r="G21" s="45"/>
      <c r="H21" s="45"/>
      <c r="I21" s="80" t="s">
        <v>318</v>
      </c>
      <c r="J21" s="45"/>
      <c r="K21" s="29">
        <f t="shared" si="5"/>
        <v>0.18</v>
      </c>
      <c r="L21" s="39">
        <f t="shared" ca="1" si="4"/>
        <v>6.4799999999999995</v>
      </c>
      <c r="M21" s="40">
        <f ca="1">INDIRECT(SUBSTITUTE("'S'!M21", "S", SheetA))                                       +INDIRECT(SUBSTITUTE("'S'!M21", "S", SheetB))</f>
        <v>3.6</v>
      </c>
      <c r="N21" s="39">
        <f ca="1">INDIRECT(SUBSTITUTE("'S'!N21", "S", SheetA))                                       +INDIRECT(SUBSTITUTE("'S'!N21", "S", SheetB))</f>
        <v>-8.459987499776357E-5</v>
      </c>
      <c r="O21" s="39">
        <f ca="1">INDIRECT(SUBSTITUTE("'S'!O21", "S", SheetA))                                       +INDIRECT(SUBSTITUTE("'S'!O21", "S", SheetB))</f>
        <v>78.286000005144018</v>
      </c>
      <c r="P21" s="39">
        <f ca="1">INDIRECT(SUBSTITUTE("'S'!P21", "S", SheetA))                                       +INDIRECT(SUBSTITUTE("'S'!P21", "S", SheetB))</f>
        <v>6.3286876829007319</v>
      </c>
      <c r="Q21" s="39">
        <f ca="1">INDIRECT(SUBSTITUTE("'S'!Q21", "S", SheetA))                                       +INDIRECT(SUBSTITUTE("'S'!Q21", "S", SheetB))</f>
        <v>557.68176003333326</v>
      </c>
      <c r="R21" s="41">
        <f ca="1">INDIRECT(SUBSTITUTE("'S'!R21", "S", SheetA))                                       +INDIRECT(SUBSTITUTE("'S'!R21", "S", SheetB))</f>
        <v>11.628546951949019</v>
      </c>
    </row>
    <row r="22" spans="1:18">
      <c r="A22" s="75"/>
      <c r="B22" s="127" t="str">
        <f>ForceUnits</f>
        <v>lb</v>
      </c>
      <c r="C22" s="121"/>
      <c r="D22" s="121"/>
      <c r="E22" s="121"/>
      <c r="F22" s="127" t="str">
        <f>ForceUnits</f>
        <v>lb</v>
      </c>
      <c r="G22" s="45"/>
      <c r="H22" s="45"/>
      <c r="I22" s="82" t="s">
        <v>296</v>
      </c>
      <c r="J22" s="45"/>
      <c r="K22" s="29">
        <f t="shared" si="5"/>
        <v>0.19999999999999998</v>
      </c>
      <c r="L22" s="39">
        <f t="shared" ca="1" si="4"/>
        <v>7.1999999999999993</v>
      </c>
      <c r="M22" s="40">
        <f ca="1">INDIRECT(SUBSTITUTE("'S'!M22", "S", SheetA))                                       +INDIRECT(SUBSTITUTE("'S'!M22", "S", SheetB))</f>
        <v>4</v>
      </c>
      <c r="N22" s="39">
        <f ca="1">INDIRECT(SUBSTITUTE("'S'!N22", "S", SheetA))                                       +INDIRECT(SUBSTITUTE("'S'!N22", "S", SheetB))</f>
        <v>-9.2829952018770297E-5</v>
      </c>
      <c r="O22" s="39">
        <f ca="1">INDIRECT(SUBSTITUTE("'S'!O22", "S", SheetA))                                       +INDIRECT(SUBSTITUTE("'S'!O22", "S", SheetB))</f>
        <v>75.550000005144028</v>
      </c>
      <c r="P22" s="39">
        <f ca="1">INDIRECT(SUBSTITUTE("'S'!P22", "S", SheetA))                                       +INDIRECT(SUBSTITUTE("'S'!P22", "S", SheetB))</f>
        <v>6.1075077848438806</v>
      </c>
      <c r="Q22" s="39">
        <f ca="1">INDIRECT(SUBSTITUTE("'S'!Q22", "S", SheetA))                                       +INDIRECT(SUBSTITUTE("'S'!Q22", "S", SheetB))</f>
        <v>613.08000003703694</v>
      </c>
      <c r="R22" s="41">
        <f ca="1">INDIRECT(SUBSTITUTE("'S'!R22", "S", SheetA))                                       +INDIRECT(SUBSTITUTE("'S'!R22", "S", SheetB))</f>
        <v>12.783687896311093</v>
      </c>
    </row>
    <row r="23" spans="1:18">
      <c r="A23" s="45"/>
      <c r="B23" s="121"/>
      <c r="C23" s="121"/>
      <c r="D23" s="121"/>
      <c r="E23" s="121"/>
      <c r="F23" s="121"/>
      <c r="G23" s="45"/>
      <c r="H23" s="45"/>
      <c r="I23" s="86" t="s">
        <v>303</v>
      </c>
      <c r="J23" s="45"/>
      <c r="K23" s="29">
        <f t="shared" si="5"/>
        <v>0.21999999999999997</v>
      </c>
      <c r="L23" s="39">
        <f t="shared" ca="1" si="4"/>
        <v>7.919999999999999</v>
      </c>
      <c r="M23" s="40">
        <f ca="1">INDIRECT(SUBSTITUTE("'S'!M23", "S", SheetA))                                       +INDIRECT(SUBSTITUTE("'S'!M23", "S", SheetB))</f>
        <v>4.3999999999999995</v>
      </c>
      <c r="N23" s="39">
        <f ca="1">INDIRECT(SUBSTITUTE("'S'!N23", "S", SheetA))                                       +INDIRECT(SUBSTITUTE("'S'!N23", "S", SheetB))</f>
        <v>-1.0069996404354112E-4</v>
      </c>
      <c r="O23" s="39">
        <f ca="1">INDIRECT(SUBSTITUTE("'S'!O23", "S", SheetA))                                       +INDIRECT(SUBSTITUTE("'S'!O23", "S", SheetB))</f>
        <v>72.526000005144027</v>
      </c>
      <c r="P23" s="39">
        <f ca="1">INDIRECT(SUBSTITUTE("'S'!P23", "S", SheetA))                                       +INDIRECT(SUBSTITUTE("'S'!P23", "S", SheetB))</f>
        <v>5.863045792254729</v>
      </c>
      <c r="Q23" s="39">
        <f ca="1">INDIRECT(SUBSTITUTE("'S'!Q23", "S", SheetA))                                       +INDIRECT(SUBSTITUTE("'S'!Q23", "S", SheetB))</f>
        <v>666.40464004074056</v>
      </c>
      <c r="R23" s="41">
        <f ca="1">INDIRECT(SUBSTITUTE("'S'!R23", "S", SheetA))                                       +INDIRECT(SUBSTITUTE("'S'!R23", "S", SheetB))</f>
        <v>13.895591000227892</v>
      </c>
    </row>
    <row r="24" spans="1:18" ht="13.5" thickBot="1">
      <c r="A24" s="45"/>
      <c r="B24" s="121"/>
      <c r="C24" s="121"/>
      <c r="D24" s="121"/>
      <c r="E24" s="121"/>
      <c r="F24" s="121"/>
      <c r="G24" s="45"/>
      <c r="H24" s="45"/>
      <c r="I24" s="85">
        <f ca="1">IF(ABS(P10)/[0]!Strength &lt; 1, ABS(P10)/[0]!Strength, "FAILED.")</f>
        <v>3.0298394817498259E-4</v>
      </c>
      <c r="J24" s="45"/>
      <c r="K24" s="29">
        <f t="shared" si="5"/>
        <v>0.23999999999999996</v>
      </c>
      <c r="L24" s="39">
        <f t="shared" ca="1" si="4"/>
        <v>8.6399999999999988</v>
      </c>
      <c r="M24" s="40">
        <f ca="1">INDIRECT(SUBSTITUTE("'S'!M24", "S", SheetA))                                       +INDIRECT(SUBSTITUTE("'S'!M24", "S", SheetB))</f>
        <v>4.8</v>
      </c>
      <c r="N24" s="39">
        <f ca="1">INDIRECT(SUBSTITUTE("'S'!N24", "S", SheetA))                                       +INDIRECT(SUBSTITUTE("'S'!N24", "S", SheetB))</f>
        <v>-1.0817859456220648E-4</v>
      </c>
      <c r="O24" s="39">
        <f ca="1">INDIRECT(SUBSTITUTE("'S'!O24", "S", SheetA))                                       +INDIRECT(SUBSTITUTE("'S'!O24", "S", SheetB))</f>
        <v>69.21400000514403</v>
      </c>
      <c r="P24" s="39">
        <f ca="1">INDIRECT(SUBSTITUTE("'S'!P24", "S", SheetA))                                       +INDIRECT(SUBSTITUTE("'S'!P24", "S", SheetB))</f>
        <v>5.5953017051332781</v>
      </c>
      <c r="Q24" s="39">
        <f ca="1">INDIRECT(SUBSTITUTE("'S'!Q24", "S", SheetA))                                       +INDIRECT(SUBSTITUTE("'S'!Q24", "S", SheetB))</f>
        <v>717.44832004444436</v>
      </c>
      <c r="R24" s="41">
        <f ca="1">INDIRECT(SUBSTITUTE("'S'!R24", "S", SheetA))                                       +INDIRECT(SUBSTITUTE("'S'!R24", "S", SheetB))</f>
        <v>14.95993247965489</v>
      </c>
    </row>
    <row r="25" spans="1:18" ht="14.25" thickTop="1" thickBot="1">
      <c r="A25" s="45"/>
      <c r="B25" s="121"/>
      <c r="C25" s="121"/>
      <c r="D25" s="128" t="s">
        <v>319</v>
      </c>
      <c r="E25" s="121"/>
      <c r="F25" s="121"/>
      <c r="G25" s="45"/>
      <c r="H25" s="45"/>
      <c r="I25" s="45"/>
      <c r="J25" s="87"/>
      <c r="K25" s="29">
        <f t="shared" si="5"/>
        <v>0.25999999999999995</v>
      </c>
      <c r="L25" s="39">
        <f t="shared" ca="1" si="4"/>
        <v>9.3599999999999977</v>
      </c>
      <c r="M25" s="40">
        <f ca="1">INDIRECT(SUBSTITUTE("'S'!M25", "S", SheetA))                                       +INDIRECT(SUBSTITUTE("'S'!M25", "S", SheetB))</f>
        <v>5.1999999999999993</v>
      </c>
      <c r="N25" s="39">
        <f ca="1">INDIRECT(SUBSTITUTE("'S'!N25", "S", SheetA))                                       +INDIRECT(SUBSTITUTE("'S'!N25", "S", SheetB))</f>
        <v>-1.1523586706196944E-4</v>
      </c>
      <c r="O25" s="39">
        <f ca="1">INDIRECT(SUBSTITUTE("'S'!O25", "S", SheetA))                                       +INDIRECT(SUBSTITUTE("'S'!O25", "S", SheetB))</f>
        <v>65.614000005144035</v>
      </c>
      <c r="P25" s="39">
        <f ca="1">INDIRECT(SUBSTITUTE("'S'!P25", "S", SheetA))                                       +INDIRECT(SUBSTITUTE("'S'!P25", "S", SheetB))</f>
        <v>5.3042755234795269</v>
      </c>
      <c r="Q25" s="39">
        <f ca="1">INDIRECT(SUBSTITUTE("'S'!Q25", "S", SheetA))                                       +INDIRECT(SUBSTITUTE("'S'!Q25", "S", SheetB))</f>
        <v>766.00368004814788</v>
      </c>
      <c r="R25" s="41">
        <f ca="1">INDIRECT(SUBSTITUTE("'S'!R25", "S", SheetA))                                       +INDIRECT(SUBSTITUTE("'S'!R25", "S", SheetB))</f>
        <v>15.972388550547553</v>
      </c>
    </row>
    <row r="26" spans="1:18" ht="13.5" thickTop="1">
      <c r="A26" s="80" t="s">
        <v>320</v>
      </c>
      <c r="B26" s="121"/>
      <c r="C26" s="121"/>
      <c r="D26" s="121"/>
      <c r="E26" s="121"/>
      <c r="F26" s="121"/>
      <c r="G26" s="88" t="s">
        <v>320</v>
      </c>
      <c r="H26" s="45"/>
      <c r="I26" s="89" t="s">
        <v>321</v>
      </c>
      <c r="J26" s="87"/>
      <c r="K26" s="29">
        <f t="shared" si="5"/>
        <v>0.27999999999999997</v>
      </c>
      <c r="L26" s="39">
        <f t="shared" ca="1" si="4"/>
        <v>10.079999999999998</v>
      </c>
      <c r="M26" s="40">
        <f ca="1">INDIRECT(SUBSTITUTE("'S'!M26", "S", SheetA))                                       +INDIRECT(SUBSTITUTE("'S'!M26", "S", SheetB))</f>
        <v>5.6</v>
      </c>
      <c r="N26" s="39">
        <f ca="1">INDIRECT(SUBSTITUTE("'S'!N26", "S", SheetA))                                       +INDIRECT(SUBSTITUTE("'S'!N26", "S", SheetB))</f>
        <v>-1.2184326684502132E-4</v>
      </c>
      <c r="O26" s="39">
        <f ca="1">INDIRECT(SUBSTITUTE("'S'!O26", "S", SheetA))                                       +INDIRECT(SUBSTITUTE("'S'!O26", "S", SheetB))</f>
        <v>61.72600000514403</v>
      </c>
      <c r="P26" s="39">
        <f ca="1">INDIRECT(SUBSTITUTE("'S'!P26", "S", SheetA))                                       +INDIRECT(SUBSTITUTE("'S'!P26", "S", SheetB))</f>
        <v>4.9899672472934746</v>
      </c>
      <c r="Q26" s="39">
        <f ca="1">INDIRECT(SUBSTITUTE("'S'!Q26", "S", SheetA))                                       +INDIRECT(SUBSTITUTE("'S'!Q26", "S", SheetB))</f>
        <v>811.86336005185171</v>
      </c>
      <c r="R26" s="41">
        <f ca="1">INDIRECT(SUBSTITUTE("'S'!R26", "S", SheetA))                                       +INDIRECT(SUBSTITUTE("'S'!R26", "S", SheetB))</f>
        <v>16.928635428861366</v>
      </c>
    </row>
    <row r="27" spans="1:18">
      <c r="A27" s="93" t="s">
        <v>322</v>
      </c>
      <c r="B27" s="121"/>
      <c r="C27" s="121"/>
      <c r="D27" s="121"/>
      <c r="E27" s="121"/>
      <c r="F27" s="121"/>
      <c r="G27" s="90" t="s">
        <v>322</v>
      </c>
      <c r="H27" s="45"/>
      <c r="I27" s="91" t="s">
        <v>295</v>
      </c>
      <c r="J27" s="87"/>
      <c r="K27" s="29">
        <f t="shared" si="5"/>
        <v>0.3</v>
      </c>
      <c r="L27" s="39">
        <f t="shared" ca="1" si="4"/>
        <v>10.799999999999999</v>
      </c>
      <c r="M27" s="40">
        <f ca="1">INDIRECT(SUBSTITUTE("'S'!M27", "S", SheetA))                                       +INDIRECT(SUBSTITUTE("'S'!M27", "S", SheetB))</f>
        <v>6</v>
      </c>
      <c r="N27" s="39">
        <f ca="1">INDIRECT(SUBSTITUTE("'S'!N27", "S", SheetA))                                       +INDIRECT(SUBSTITUTE("'S'!N27", "S", SheetB))</f>
        <v>-1.2797386284645735E-4</v>
      </c>
      <c r="O27" s="39">
        <f ca="1">INDIRECT(SUBSTITUTE("'S'!O27", "S", SheetA))                                       +INDIRECT(SUBSTITUTE("'S'!O27", "S", SheetB))</f>
        <v>57.550000005144035</v>
      </c>
      <c r="P27" s="39">
        <f ca="1">INDIRECT(SUBSTITUTE("'S'!P27", "S", SheetA))                                       +INDIRECT(SUBSTITUTE("'S'!P27", "S", SheetB))</f>
        <v>4.6523768765751239</v>
      </c>
      <c r="Q27" s="39">
        <f ca="1">INDIRECT(SUBSTITUTE("'S'!Q27", "S", SheetA))                                       +INDIRECT(SUBSTITUTE("'S'!Q27", "S", SheetB))</f>
        <v>854.82000005555528</v>
      </c>
      <c r="R27" s="41">
        <f ca="1">INDIRECT(SUBSTITUTE("'S'!R27", "S", SheetA))                                       +INDIRECT(SUBSTITUTE("'S'!R27", "S", SheetB))</f>
        <v>17.82434933055179</v>
      </c>
    </row>
    <row r="28" spans="1:18">
      <c r="A28" s="82">
        <f ca="1">INDIRECT(SUBSTITUTE("'S'!A28", "S", SheetA))                                       +INDIRECT(SUBSTITUTE("'S'!A28", "S", SheetB))</f>
        <v>-7.8837079069637279E-4</v>
      </c>
      <c r="B28" s="121"/>
      <c r="C28" s="121"/>
      <c r="D28" s="121"/>
      <c r="E28" s="121"/>
      <c r="F28" s="121"/>
      <c r="G28" s="82">
        <f ca="1">INDIRECT(SUBSTITUTE("'S'!G28", "S", SheetA))                                       +INDIRECT(SUBSTITUTE("'S'!G28", "S", SheetB))</f>
        <v>7.8837088805493107E-4</v>
      </c>
      <c r="H28" s="45"/>
      <c r="I28" s="91">
        <f ca="1">N10</f>
        <v>-1.585069575864409E-4</v>
      </c>
      <c r="J28" s="87"/>
      <c r="K28" s="29">
        <f t="shared" si="5"/>
        <v>0.32</v>
      </c>
      <c r="L28" s="39">
        <f t="shared" ca="1" si="4"/>
        <v>11.52</v>
      </c>
      <c r="M28" s="40">
        <f ca="1">INDIRECT(SUBSTITUTE("'S'!M28", "S", SheetA))                                       +INDIRECT(SUBSTITUTE("'S'!M28", "S", SheetB))</f>
        <v>6.4</v>
      </c>
      <c r="N28" s="39">
        <f ca="1">INDIRECT(SUBSTITUTE("'S'!N28", "S", SheetA))                                       +INDIRECT(SUBSTITUTE("'S'!N28", "S", SheetB))</f>
        <v>-1.3360242945219239E-4</v>
      </c>
      <c r="O28" s="39">
        <f ca="1">INDIRECT(SUBSTITUTE("'S'!O28", "S", SheetA))                                       +INDIRECT(SUBSTITUTE("'S'!O28", "S", SheetB))</f>
        <v>53.08600000514403</v>
      </c>
      <c r="P28" s="39">
        <f ca="1">INDIRECT(SUBSTITUTE("'S'!P28", "S", SheetA))                                       +INDIRECT(SUBSTITUTE("'S'!P28", "S", SheetB))</f>
        <v>4.2915044113244711</v>
      </c>
      <c r="Q28" s="39">
        <f ca="1">INDIRECT(SUBSTITUTE("'S'!Q28", "S", SheetA))                                       +INDIRECT(SUBSTITUTE("'S'!Q28", "S", SheetB))</f>
        <v>894.66624005925905</v>
      </c>
      <c r="R28" s="41">
        <f ca="1">INDIRECT(SUBSTITUTE("'S'!R28", "S", SheetA))                                       +INDIRECT(SUBSTITUTE("'S'!R28", "S", SheetB))</f>
        <v>18.655206471574303</v>
      </c>
    </row>
    <row r="29" spans="1:18" ht="13.5" thickBot="1">
      <c r="A29" s="84" t="s">
        <v>323</v>
      </c>
      <c r="B29" s="121"/>
      <c r="C29" s="121"/>
      <c r="D29" s="121"/>
      <c r="E29" s="121"/>
      <c r="F29" s="121"/>
      <c r="G29" s="84" t="s">
        <v>323</v>
      </c>
      <c r="H29" s="45"/>
      <c r="I29" s="92" t="str">
        <f>DistanceUnits</f>
        <v>in</v>
      </c>
      <c r="J29" s="87"/>
      <c r="K29" s="29">
        <f t="shared" si="5"/>
        <v>0.34</v>
      </c>
      <c r="L29" s="39">
        <f t="shared" ca="1" si="4"/>
        <v>12.24</v>
      </c>
      <c r="M29" s="40">
        <f ca="1">INDIRECT(SUBSTITUTE("'S'!M29", "S", SheetA))                                       +INDIRECT(SUBSTITUTE("'S'!M29", "S", SheetB))</f>
        <v>6.8000000000000007</v>
      </c>
      <c r="N29" s="39">
        <f ca="1">INDIRECT(SUBSTITUTE("'S'!N29", "S", SheetA))                                       +INDIRECT(SUBSTITUTE("'S'!N29", "S", SheetB))</f>
        <v>-1.387055683168768E-4</v>
      </c>
      <c r="O29" s="39">
        <f ca="1">INDIRECT(SUBSTITUTE("'S'!O29", "S", SheetA))                                       +INDIRECT(SUBSTITUTE("'S'!O29", "S", SheetB))</f>
        <v>48.334000005144027</v>
      </c>
      <c r="P29" s="39">
        <f ca="1">INDIRECT(SUBSTITUTE("'S'!P29", "S", SheetA))                                       +INDIRECT(SUBSTITUTE("'S'!P29", "S", SheetB))</f>
        <v>3.907349851541519</v>
      </c>
      <c r="Q29" s="39">
        <f ca="1">INDIRECT(SUBSTITUTE("'S'!Q29", "S", SheetA))                                       +INDIRECT(SUBSTITUTE("'S'!Q29", "S", SheetB))</f>
        <v>931.19472006296292</v>
      </c>
      <c r="R29" s="41">
        <f ca="1">INDIRECT(SUBSTITUTE("'S'!R29", "S", SheetA))                                       +INDIRECT(SUBSTITUTE("'S'!R29", "S", SheetB))</f>
        <v>19.416883067884374</v>
      </c>
    </row>
    <row r="30" spans="1:18" ht="14.25" thickTop="1" thickBot="1">
      <c r="A30" s="45"/>
      <c r="B30" s="121"/>
      <c r="C30" s="121"/>
      <c r="D30" s="121"/>
      <c r="E30" s="121"/>
      <c r="F30" s="121"/>
      <c r="G30" s="45"/>
      <c r="H30" s="45"/>
      <c r="I30" s="45"/>
      <c r="J30" s="87"/>
      <c r="K30" s="29">
        <f t="shared" si="5"/>
        <v>0.36000000000000004</v>
      </c>
      <c r="L30" s="39">
        <f t="shared" ca="1" si="4"/>
        <v>12.96</v>
      </c>
      <c r="M30" s="40">
        <f ca="1">INDIRECT(SUBSTITUTE("'S'!M30", "S", SheetA))                                       +INDIRECT(SUBSTITUTE("'S'!M30", "S", SheetB))</f>
        <v>7.2000000000000011</v>
      </c>
      <c r="N30" s="39">
        <f ca="1">INDIRECT(SUBSTITUTE("'S'!N30", "S", SheetA))                                       +INDIRECT(SUBSTITUTE("'S'!N30", "S", SheetB))</f>
        <v>-1.432618301818118E-4</v>
      </c>
      <c r="O30" s="39">
        <f ca="1">INDIRECT(SUBSTITUTE("'S'!O30", "S", SheetA))                                       +INDIRECT(SUBSTITUTE("'S'!O30", "S", SheetB))</f>
        <v>43.294000005144014</v>
      </c>
      <c r="P30" s="39">
        <f ca="1">INDIRECT(SUBSTITUTE("'S'!P30", "S", SheetA))                                       +INDIRECT(SUBSTITUTE("'S'!P30", "S", SheetB))</f>
        <v>3.4999131972262658</v>
      </c>
      <c r="Q30" s="39">
        <f ca="1">INDIRECT(SUBSTITUTE("'S'!Q30", "S", SheetA))                                       +INDIRECT(SUBSTITUTE("'S'!Q30", "S", SheetB))</f>
        <v>964.19808006666653</v>
      </c>
      <c r="R30" s="41">
        <f ca="1">INDIRECT(SUBSTITUTE("'S'!R30", "S", SheetA))                                       +INDIRECT(SUBSTITUTE("'S'!R30", "S", SheetB))</f>
        <v>20.105055335437477</v>
      </c>
    </row>
    <row r="31" spans="1:18" ht="13.5" thickTop="1">
      <c r="A31" s="45"/>
      <c r="B31" s="121"/>
      <c r="C31" s="121"/>
      <c r="D31" s="121"/>
      <c r="E31" s="121"/>
      <c r="F31" s="121"/>
      <c r="G31" s="45"/>
      <c r="H31" s="45"/>
      <c r="I31" s="88" t="s">
        <v>324</v>
      </c>
      <c r="J31" s="87"/>
      <c r="K31" s="29">
        <f t="shared" si="5"/>
        <v>0.38000000000000006</v>
      </c>
      <c r="L31" s="39">
        <f t="shared" ca="1" si="4"/>
        <v>13.680000000000001</v>
      </c>
      <c r="M31" s="40">
        <f ca="1">INDIRECT(SUBSTITUTE("'S'!M31", "S", SheetA))                                       +INDIRECT(SUBSTITUTE("'S'!M31", "S", SheetB))</f>
        <v>7.6000000000000014</v>
      </c>
      <c r="N31" s="39">
        <f ca="1">INDIRECT(SUBSTITUTE("'S'!N31", "S", SheetA))                                       +INDIRECT(SUBSTITUTE("'S'!N31", "S", SheetB))</f>
        <v>-1.4725183669286537E-4</v>
      </c>
      <c r="O31" s="39">
        <f ca="1">INDIRECT(SUBSTITUTE("'S'!O31", "S", SheetA))                                       +INDIRECT(SUBSTITUTE("'S'!O31", "S", SheetB))</f>
        <v>37.966000005144011</v>
      </c>
      <c r="P31" s="39">
        <f ca="1">INDIRECT(SUBSTITUTE("'S'!P31", "S", SheetA))                                       +INDIRECT(SUBSTITUTE("'S'!P31", "S", SheetB))</f>
        <v>3.0691944483787137</v>
      </c>
      <c r="Q31" s="39">
        <f ca="1">INDIRECT(SUBSTITUTE("'S'!Q31", "S", SheetA))                                       +INDIRECT(SUBSTITUTE("'S'!Q31", "S", SheetB))</f>
        <v>993.46896007037026</v>
      </c>
      <c r="R31" s="41">
        <f ca="1">INDIRECT(SUBSTITUTE("'S'!R31", "S", SheetA))                                       +INDIRECT(SUBSTITUTE("'S'!R31", "S", SheetB))</f>
        <v>20.715399490189085</v>
      </c>
    </row>
    <row r="32" spans="1:18">
      <c r="A32" s="45"/>
      <c r="B32" s="121"/>
      <c r="C32" s="121"/>
      <c r="D32" s="121"/>
      <c r="E32" s="121"/>
      <c r="F32" s="121"/>
      <c r="G32" s="45"/>
      <c r="H32" s="45"/>
      <c r="I32" s="90" t="s">
        <v>296</v>
      </c>
      <c r="J32" s="87"/>
      <c r="K32" s="29">
        <f t="shared" si="5"/>
        <v>0.40000000000000008</v>
      </c>
      <c r="L32" s="39">
        <f t="shared" ca="1" si="4"/>
        <v>14.400000000000002</v>
      </c>
      <c r="M32" s="40">
        <f ca="1">INDIRECT(SUBSTITUTE("'S'!M32", "S", SheetA))                                       +INDIRECT(SUBSTITUTE("'S'!M32", "S", SheetB))</f>
        <v>8.0000000000000018</v>
      </c>
      <c r="N32" s="39">
        <f ca="1">INDIRECT(SUBSTITUTE("'S'!N32", "S", SheetA))                                       +INDIRECT(SUBSTITUTE("'S'!N32", "S", SheetB))</f>
        <v>-1.5065840221838798E-4</v>
      </c>
      <c r="O32" s="39">
        <f ca="1">INDIRECT(SUBSTITUTE("'S'!O32", "S", SheetA))                                       +INDIRECT(SUBSTITUTE("'S'!O32", "S", SheetB))</f>
        <v>32.350000005144004</v>
      </c>
      <c r="P32" s="39">
        <f ca="1">INDIRECT(SUBSTITUTE("'S'!P32", "S", SheetA))                                       +INDIRECT(SUBSTITUTE("'S'!P32", "S", SheetB))</f>
        <v>2.6151936049988609</v>
      </c>
      <c r="Q32" s="39">
        <f ca="1">INDIRECT(SUBSTITUTE("'S'!Q32", "S", SheetA))                                       +INDIRECT(SUBSTITUTE("'S'!Q32", "S", SheetB))</f>
        <v>1018.800000074074</v>
      </c>
      <c r="R32" s="41">
        <f ca="1">INDIRECT(SUBSTITUTE("'S'!R32", "S", SheetA))                                       +INDIRECT(SUBSTITUTE("'S'!R32", "S", SheetB))</f>
        <v>21.243591748094673</v>
      </c>
    </row>
    <row r="33" spans="1:18">
      <c r="A33" s="45"/>
      <c r="B33" s="121"/>
      <c r="C33" s="121"/>
      <c r="D33" s="121"/>
      <c r="E33" s="121"/>
      <c r="F33" s="121"/>
      <c r="G33" s="45"/>
      <c r="H33" s="45"/>
      <c r="I33" s="93">
        <f ca="1">O9</f>
        <v>89.950000005144034</v>
      </c>
      <c r="J33" s="87"/>
      <c r="K33" s="29">
        <f t="shared" si="5"/>
        <v>0.4200000000000001</v>
      </c>
      <c r="L33" s="39">
        <f t="shared" ca="1" si="4"/>
        <v>15.120000000000003</v>
      </c>
      <c r="M33" s="40">
        <f ca="1">INDIRECT(SUBSTITUTE("'S'!M33", "S", SheetA))                                       +INDIRECT(SUBSTITUTE("'S'!M33", "S", SheetB))</f>
        <v>8.4000000000000021</v>
      </c>
      <c r="N33" s="39">
        <f ca="1">INDIRECT(SUBSTITUTE("'S'!N33", "S", SheetA))                                       +INDIRECT(SUBSTITUTE("'S'!N33", "S", SheetB))</f>
        <v>-1.5346665566712812E-4</v>
      </c>
      <c r="O33" s="39">
        <f ca="1">INDIRECT(SUBSTITUTE("'S'!O33", "S", SheetA))                                       +INDIRECT(SUBSTITUTE("'S'!O33", "S", SheetB))</f>
        <v>26.446000005144001</v>
      </c>
      <c r="P33" s="39">
        <f ca="1">INDIRECT(SUBSTITUTE("'S'!P33", "S", SheetA))                                       +INDIRECT(SUBSTITUTE("'S'!P33", "S", SheetB))</f>
        <v>2.1379106670867083</v>
      </c>
      <c r="Q33" s="39">
        <f ca="1">INDIRECT(SUBSTITUTE("'S'!Q33", "S", SheetA))                                       +INDIRECT(SUBSTITUTE("'S'!Q33", "S", SheetB))</f>
        <v>1039.9838400777778</v>
      </c>
      <c r="R33" s="41">
        <f ca="1">INDIRECT(SUBSTITUTE("'S'!R33", "S", SheetA))                                       +INDIRECT(SUBSTITUTE("'S'!R33", "S", SheetB))</f>
        <v>21.685308325109709</v>
      </c>
    </row>
    <row r="34" spans="1:18" ht="13.5" thickBot="1">
      <c r="A34" s="94" t="s">
        <v>296</v>
      </c>
      <c r="B34" s="121"/>
      <c r="C34" s="121"/>
      <c r="D34" s="121"/>
      <c r="E34" s="121"/>
      <c r="F34" s="121"/>
      <c r="G34" s="94" t="s">
        <v>296</v>
      </c>
      <c r="H34" s="45"/>
      <c r="I34" s="84" t="str">
        <f>ForceUnits</f>
        <v>lb</v>
      </c>
      <c r="J34" s="87"/>
      <c r="K34" s="29">
        <f t="shared" si="5"/>
        <v>0.44000000000000011</v>
      </c>
      <c r="L34" s="39">
        <f t="shared" ca="1" si="4"/>
        <v>15.840000000000003</v>
      </c>
      <c r="M34" s="40">
        <f ca="1">INDIRECT(SUBSTITUTE("'S'!M34", "S", SheetA))                                       +INDIRECT(SUBSTITUTE("'S'!M34", "S", SheetB))</f>
        <v>8.8000000000000025</v>
      </c>
      <c r="N34" s="39">
        <f ca="1">INDIRECT(SUBSTITUTE("'S'!N34", "S", SheetA))                                       +INDIRECT(SUBSTITUTE("'S'!N34", "S", SheetB))</f>
        <v>-1.5566416230614798E-4</v>
      </c>
      <c r="O34" s="39">
        <f ca="1">INDIRECT(SUBSTITUTE("'S'!O34", "S", SheetA))                                       +INDIRECT(SUBSTITUTE("'S'!O34", "S", SheetB))</f>
        <v>20.254000005144</v>
      </c>
      <c r="P34" s="39">
        <f ca="1">INDIRECT(SUBSTITUTE("'S'!P34", "S", SheetA))                                       +INDIRECT(SUBSTITUTE("'S'!P34", "S", SheetB))</f>
        <v>1.6373456346422557</v>
      </c>
      <c r="Q34" s="39">
        <f ca="1">INDIRECT(SUBSTITUTE("'S'!Q34", "S", SheetA))                                       +INDIRECT(SUBSTITUTE("'S'!Q34", "S", SheetB))</f>
        <v>1056.8131200814814</v>
      </c>
      <c r="R34" s="41">
        <f ca="1">INDIRECT(SUBSTITUTE("'S'!R34", "S", SheetA))                                       +INDIRECT(SUBSTITUTE("'S'!R34", "S", SheetB))</f>
        <v>22.036225437189668</v>
      </c>
    </row>
    <row r="35" spans="1:18" ht="14.25" thickTop="1" thickBot="1">
      <c r="A35" s="45"/>
      <c r="B35" s="121"/>
      <c r="C35" s="121"/>
      <c r="D35" s="121"/>
      <c r="E35" s="121"/>
      <c r="F35" s="121"/>
      <c r="G35" s="45"/>
      <c r="H35" s="45"/>
      <c r="I35" s="45"/>
      <c r="J35" s="87"/>
      <c r="K35" s="29">
        <f t="shared" si="5"/>
        <v>0.46000000000000013</v>
      </c>
      <c r="L35" s="39">
        <f t="shared" ca="1" si="4"/>
        <v>16.560000000000006</v>
      </c>
      <c r="M35" s="40">
        <f ca="1">INDIRECT(SUBSTITUTE("'S'!M35", "S", SheetA))                                       +INDIRECT(SUBSTITUTE("'S'!M35", "S", SheetB))</f>
        <v>9.2000000000000028</v>
      </c>
      <c r="N35" s="39">
        <f ca="1">INDIRECT(SUBSTITUTE("'S'!N35", "S", SheetA))                                       +INDIRECT(SUBSTITUTE("'S'!N35", "S", SheetB))</f>
        <v>-1.5724104557873948E-4</v>
      </c>
      <c r="O35" s="39">
        <f ca="1">INDIRECT(SUBSTITUTE("'S'!O35", "S", SheetA))                                       +INDIRECT(SUBSTITUTE("'S'!O35", "S", SheetB))</f>
        <v>13.774000005143968</v>
      </c>
      <c r="P35" s="39">
        <f ca="1">INDIRECT(SUBSTITUTE("'S'!P35", "S", SheetA))                                       +INDIRECT(SUBSTITUTE("'S'!P35", "S", SheetB))</f>
        <v>1.1134985076655004</v>
      </c>
      <c r="Q35" s="39">
        <f ca="1">INDIRECT(SUBSTITUTE("'S'!Q35", "S", SheetA))                                       +INDIRECT(SUBSTITUTE("'S'!Q35", "S", SheetB))</f>
        <v>1069.0804800851852</v>
      </c>
      <c r="R35" s="41">
        <f ca="1">INDIRECT(SUBSTITUTE("'S'!R35", "S", SheetA))                                       +INDIRECT(SUBSTITUTE("'S'!R35", "S", SheetB))</f>
        <v>22.292019300290022</v>
      </c>
    </row>
    <row r="36" spans="1:18" ht="13.5" thickTop="1">
      <c r="A36" s="45"/>
      <c r="B36" s="121"/>
      <c r="C36" s="121"/>
      <c r="D36" s="121"/>
      <c r="E36" s="121"/>
      <c r="F36" s="121"/>
      <c r="G36" s="45"/>
      <c r="H36" s="45"/>
      <c r="I36" s="88" t="s">
        <v>325</v>
      </c>
      <c r="J36" s="87"/>
      <c r="K36" s="29">
        <f t="shared" si="5"/>
        <v>0.48000000000000015</v>
      </c>
      <c r="L36" s="39">
        <f t="shared" ca="1" si="4"/>
        <v>17.280000000000005</v>
      </c>
      <c r="M36" s="40">
        <f ca="1">INDIRECT(SUBSTITUTE("'S'!M36", "S", SheetA))                                       +INDIRECT(SUBSTITUTE("'S'!M36", "S", SheetB))</f>
        <v>9.6000000000000032</v>
      </c>
      <c r="N36" s="39">
        <f ca="1">INDIRECT(SUBSTITUTE("'S'!N36", "S", SheetA))                                       +INDIRECT(SUBSTITUTE("'S'!N36", "S", SheetB))</f>
        <v>-1.5819010892233944E-4</v>
      </c>
      <c r="O36" s="39">
        <f ca="1">INDIRECT(SUBSTITUTE("'S'!O36", "S", SheetA))                                       +INDIRECT(SUBSTITUTE("'S'!O36", "S", SheetB))</f>
        <v>7.0060000051439815</v>
      </c>
      <c r="P36" s="39">
        <f ca="1">INDIRECT(SUBSTITUTE("'S'!P36", "S", SheetA))                                       +INDIRECT(SUBSTITUTE("'S'!P36", "S", SheetB))</f>
        <v>0.56636928615644866</v>
      </c>
      <c r="Q36" s="39">
        <f ca="1">INDIRECT(SUBSTITUTE("'S'!Q36", "S", SheetA))                                       +INDIRECT(SUBSTITUTE("'S'!Q36", "S", SheetB))</f>
        <v>1076.5785600888889</v>
      </c>
      <c r="R36" s="41">
        <f ca="1">INDIRECT(SUBSTITUTE("'S'!R36", "S", SheetA))                                       +INDIRECT(SUBSTITUTE("'S'!R36", "S", SheetB))</f>
        <v>22.448366130366239</v>
      </c>
    </row>
    <row r="37" spans="1:18">
      <c r="A37" s="45"/>
      <c r="B37" s="121"/>
      <c r="C37" s="121"/>
      <c r="D37" s="121"/>
      <c r="E37" s="121"/>
      <c r="F37" s="121"/>
      <c r="G37" s="45"/>
      <c r="H37" s="45"/>
      <c r="I37" s="90" t="s">
        <v>296</v>
      </c>
      <c r="J37" s="87"/>
      <c r="K37" s="29">
        <f t="shared" si="5"/>
        <v>0.50000000000000011</v>
      </c>
      <c r="L37" s="39">
        <f t="shared" ca="1" si="4"/>
        <v>18.000000000000004</v>
      </c>
      <c r="M37" s="40">
        <f ca="1">INDIRECT(SUBSTITUTE("'S'!M37", "S", SheetA))                                       +INDIRECT(SUBSTITUTE("'S'!M37", "S", SheetB))</f>
        <v>9.9999999999999982</v>
      </c>
      <c r="N37" s="39">
        <f ca="1">INDIRECT(SUBSTITUTE("'S'!N37", "S", SheetA))                                       +INDIRECT(SUBSTITUTE("'S'!N37", "S", SheetB))</f>
        <v>-1.585069575864409E-4</v>
      </c>
      <c r="O37" s="39">
        <f ca="1">INDIRECT(SUBSTITUTE("'S'!O37", "S", SheetA))                                       +INDIRECT(SUBSTITUTE("'S'!O37", "S", SheetB))</f>
        <v>4.9972227366261279E-2</v>
      </c>
      <c r="P37" s="39">
        <f ca="1">INDIRECT(SUBSTITUTE("'S'!P37", "S", SheetA))                                       +INDIRECT(SUBSTITUTE("'S'!P37", "S", SheetB))</f>
        <v>4.0397851442044441E-3</v>
      </c>
      <c r="Q37" s="39">
        <f ca="1">INDIRECT(SUBSTITUTE("'S'!Q37", "S", SheetA))                                       +INDIRECT(SUBSTITUTE("'S'!Q37", "S", SheetB))</f>
        <v>1079.1004999074073</v>
      </c>
      <c r="R37" s="41">
        <f ca="1">INDIRECT(SUBSTITUTE("'S'!R37", "S", SheetA))                                       +INDIRECT(SUBSTITUTE("'S'!R37", "S", SheetB))</f>
        <v>22.500952565303393</v>
      </c>
    </row>
    <row r="38" spans="1:18">
      <c r="A38" s="45"/>
      <c r="B38" s="121"/>
      <c r="C38" s="121"/>
      <c r="D38" s="121"/>
      <c r="E38" s="121"/>
      <c r="F38" s="121"/>
      <c r="G38" s="45"/>
      <c r="H38" s="45"/>
      <c r="I38" s="93">
        <f ca="1">O8</f>
        <v>-89.950027772633746</v>
      </c>
      <c r="J38" s="87"/>
      <c r="K38" s="29">
        <f t="shared" si="5"/>
        <v>0.52000000000000013</v>
      </c>
      <c r="L38" s="39">
        <f t="shared" ca="1" si="4"/>
        <v>18.720000000000006</v>
      </c>
      <c r="M38" s="40">
        <f ca="1">INDIRECT(SUBSTITUTE("'S'!M38", "S", SheetA))                                       +INDIRECT(SUBSTITUTE("'S'!M38", "S", SheetB))</f>
        <v>9.5999999999999961</v>
      </c>
      <c r="N38" s="39">
        <f ca="1">INDIRECT(SUBSTITUTE("'S'!N38", "S", SheetA))                                       +INDIRECT(SUBSTITUTE("'S'!N38", "S", SheetB))</f>
        <v>-1.581901112243669E-4</v>
      </c>
      <c r="O38" s="39">
        <f ca="1">INDIRECT(SUBSTITUTE("'S'!O38", "S", SheetA))                                       +INDIRECT(SUBSTITUTE("'S'!O38", "S", SheetB))</f>
        <v>-7.0060277726337929</v>
      </c>
      <c r="P38" s="39">
        <f ca="1">INDIRECT(SUBSTITUTE("'S'!P38", "S", SheetA))                                       +INDIRECT(SUBSTITUTE("'S'!P38", "S", SheetB))</f>
        <v>-0.56637153089715264</v>
      </c>
      <c r="Q38" s="39">
        <f ca="1">INDIRECT(SUBSTITUTE("'S'!Q38", "S", SheetA))                                       +INDIRECT(SUBSTITUTE("'S'!Q38", "S", SheetB))</f>
        <v>1076.5790399111111</v>
      </c>
      <c r="R38" s="41">
        <f ca="1">INDIRECT(SUBSTITUTE("'S'!R38", "S", SheetA))                                       +INDIRECT(SUBSTITUTE("'S'!R38", "S", SheetB))</f>
        <v>22.448376135418656</v>
      </c>
    </row>
    <row r="39" spans="1:18" ht="13.5" thickBot="1">
      <c r="A39" s="45"/>
      <c r="B39" s="121"/>
      <c r="C39" s="121"/>
      <c r="D39" s="121"/>
      <c r="E39" s="121"/>
      <c r="F39" s="121"/>
      <c r="G39" s="45"/>
      <c r="H39" s="45"/>
      <c r="I39" s="84" t="str">
        <f>ForceUnits</f>
        <v>lb</v>
      </c>
      <c r="J39" s="87"/>
      <c r="K39" s="29">
        <f t="shared" si="5"/>
        <v>0.54000000000000015</v>
      </c>
      <c r="L39" s="39">
        <f t="shared" ca="1" si="4"/>
        <v>19.440000000000005</v>
      </c>
      <c r="M39" s="40">
        <f ca="1">INDIRECT(SUBSTITUTE("'S'!M39", "S", SheetA))                                       +INDIRECT(SUBSTITUTE("'S'!M39", "S", SheetB))</f>
        <v>9.1999999999999975</v>
      </c>
      <c r="N39" s="39">
        <f ca="1">INDIRECT(SUBSTITUTE("'S'!N39", "S", SheetA))                                       +INDIRECT(SUBSTITUTE("'S'!N39", "S", SheetB))</f>
        <v>-1.5724104990091773E-4</v>
      </c>
      <c r="O39" s="39">
        <f ca="1">INDIRECT(SUBSTITUTE("'S'!O39", "S", SheetA))                                       +INDIRECT(SUBSTITUTE("'S'!O39", "S", SheetB))</f>
        <v>-13.774027772633779</v>
      </c>
      <c r="P39" s="39">
        <f ca="1">INDIRECT(SUBSTITUTE("'S'!P39", "S", SheetA))                                       +INDIRECT(SUBSTITUTE("'S'!P39", "S", SheetB))</f>
        <v>-1.1135007524062044</v>
      </c>
      <c r="Q39" s="39">
        <f ca="1">INDIRECT(SUBSTITUTE("'S'!Q39", "S", SheetA))                                       +INDIRECT(SUBSTITUTE("'S'!Q39", "S", SheetB))</f>
        <v>1069.0809399148147</v>
      </c>
      <c r="R39" s="41">
        <f ca="1">INDIRECT(SUBSTITUTE("'S'!R39", "S", SheetA))                                       +INDIRECT(SUBSTITUTE("'S'!R39", "S", SheetB))</f>
        <v>22.29202888846525</v>
      </c>
    </row>
    <row r="40" spans="1:18" ht="14.25" thickTop="1" thickBot="1">
      <c r="A40" s="45"/>
      <c r="B40" s="121"/>
      <c r="C40" s="121"/>
      <c r="D40" s="121"/>
      <c r="E40" s="121"/>
      <c r="F40" s="121"/>
      <c r="G40" s="45"/>
      <c r="H40" s="45"/>
      <c r="I40" s="45"/>
      <c r="J40" s="87"/>
      <c r="K40" s="29">
        <f t="shared" si="5"/>
        <v>0.56000000000000016</v>
      </c>
      <c r="L40" s="39">
        <f t="shared" ca="1" si="4"/>
        <v>20.160000000000007</v>
      </c>
      <c r="M40" s="40">
        <f ca="1">INDIRECT(SUBSTITUTE("'S'!M40", "S", SheetA))                                       +INDIRECT(SUBSTITUTE("'S'!M40", "S", SheetB))</f>
        <v>8.7999999999999954</v>
      </c>
      <c r="N40" s="39">
        <f ca="1">INDIRECT(SUBSTITUTE("'S'!N40", "S", SheetA))                                       +INDIRECT(SUBSTITUTE("'S'!N40", "S", SheetB))</f>
        <v>-1.5566416837834042E-4</v>
      </c>
      <c r="O40" s="39">
        <f ca="1">INDIRECT(SUBSTITUTE("'S'!O40", "S", SheetA))                                       +INDIRECT(SUBSTITUTE("'S'!O40", "S", SheetB))</f>
        <v>-20.254027772633794</v>
      </c>
      <c r="P40" s="39">
        <f ca="1">INDIRECT(SUBSTITUTE("'S'!P40", "S", SheetA))                                       +INDIRECT(SUBSTITUTE("'S'!P40", "S", SheetB))</f>
        <v>-1.6373478793829581</v>
      </c>
      <c r="Q40" s="39">
        <f ca="1">INDIRECT(SUBSTITUTE("'S'!Q40", "S", SheetA))                                       +INDIRECT(SUBSTITUTE("'S'!Q40", "S", SheetB))</f>
        <v>1056.8135599185184</v>
      </c>
      <c r="R40" s="41">
        <f ca="1">INDIRECT(SUBSTITUTE("'S'!R40", "S", SheetA))                                       +INDIRECT(SUBSTITUTE("'S'!R40", "S", SheetB))</f>
        <v>22.036234608487714</v>
      </c>
    </row>
    <row r="41" spans="1:18" ht="13.5" thickTop="1">
      <c r="A41" s="45"/>
      <c r="B41" s="121"/>
      <c r="C41" s="121"/>
      <c r="D41" s="121"/>
      <c r="E41" s="121"/>
      <c r="F41" s="121"/>
      <c r="G41" s="45"/>
      <c r="H41" s="45"/>
      <c r="I41" s="88" t="s">
        <v>324</v>
      </c>
      <c r="J41" s="87"/>
      <c r="K41" s="29">
        <f t="shared" si="5"/>
        <v>0.58000000000000018</v>
      </c>
      <c r="L41" s="39">
        <f t="shared" ca="1" si="4"/>
        <v>20.880000000000006</v>
      </c>
      <c r="M41" s="40">
        <f ca="1">INDIRECT(SUBSTITUTE("'S'!M41", "S", SheetA))                                       +INDIRECT(SUBSTITUTE("'S'!M41", "S", SheetB))</f>
        <v>8.3999999999999968</v>
      </c>
      <c r="N41" s="39">
        <f ca="1">INDIRECT(SUBSTITUTE("'S'!N41", "S", SheetA))                                       +INDIRECT(SUBSTITUTE("'S'!N41", "S", SheetB))</f>
        <v>-1.5346666323094369E-4</v>
      </c>
      <c r="O41" s="39">
        <f ca="1">INDIRECT(SUBSTITUTE("'S'!O41", "S", SheetA))                                       +INDIRECT(SUBSTITUTE("'S'!O41", "S", SheetB))</f>
        <v>-26.446027772633794</v>
      </c>
      <c r="P41" s="39">
        <f ca="1">INDIRECT(SUBSTITUTE("'S'!P41", "S", SheetA))                                       +INDIRECT(SUBSTITUTE("'S'!P41", "S", SheetB))</f>
        <v>-2.1379129118274105</v>
      </c>
      <c r="Q41" s="39">
        <f ca="1">INDIRECT(SUBSTITUTE("'S'!Q41", "S", SheetA))                                       +INDIRECT(SUBSTITUTE("'S'!Q41", "S", SheetB))</f>
        <v>1039.984259922222</v>
      </c>
      <c r="R41" s="41">
        <f ca="1">INDIRECT(SUBSTITUTE("'S'!R41", "S", SheetA))                                       +INDIRECT(SUBSTITUTE("'S'!R41", "S", SheetB))</f>
        <v>21.68531707953057</v>
      </c>
    </row>
    <row r="42" spans="1:18">
      <c r="A42" s="45"/>
      <c r="B42" s="121"/>
      <c r="C42" s="121"/>
      <c r="D42" s="121"/>
      <c r="E42" s="121"/>
      <c r="F42" s="121"/>
      <c r="G42" s="45"/>
      <c r="H42" s="45"/>
      <c r="I42" s="90" t="s">
        <v>298</v>
      </c>
      <c r="J42" s="87"/>
      <c r="K42" s="29">
        <f t="shared" si="5"/>
        <v>0.6000000000000002</v>
      </c>
      <c r="L42" s="39">
        <f t="shared" ca="1" si="4"/>
        <v>21.600000000000009</v>
      </c>
      <c r="M42" s="40">
        <f ca="1">INDIRECT(SUBSTITUTE("'S'!M42", "S", SheetA))                                       +INDIRECT(SUBSTITUTE("'S'!M42", "S", SheetB))</f>
        <v>7.9999999999999947</v>
      </c>
      <c r="N42" s="39">
        <f ca="1">INDIRECT(SUBSTITUTE("'S'!N42", "S", SheetA))                                       +INDIRECT(SUBSTITUTE("'S'!N42", "S", SheetB))</f>
        <v>-1.506584110271803E-4</v>
      </c>
      <c r="O42" s="39">
        <f ca="1">INDIRECT(SUBSTITUTE("'S'!O42", "S", SheetA))                                       +INDIRECT(SUBSTITUTE("'S'!O42", "S", SheetB))</f>
        <v>-32.350027772633815</v>
      </c>
      <c r="P42" s="39">
        <f ca="1">INDIRECT(SUBSTITUTE("'S'!P42", "S", SheetA))                                       +INDIRECT(SUBSTITUTE("'S'!P42", "S", SheetB))</f>
        <v>-2.6151958497395649</v>
      </c>
      <c r="Q42" s="39">
        <f ca="1">INDIRECT(SUBSTITUTE("'S'!Q42", "S", SheetA))                                       +INDIRECT(SUBSTITUTE("'S'!Q42", "S", SheetB))</f>
        <v>1018.8003999259256</v>
      </c>
      <c r="R42" s="41">
        <f ca="1">INDIRECT(SUBSTITUTE("'S'!R42", "S", SheetA))                                       +INDIRECT(SUBSTITUTE("'S'!R42", "S", SheetB))</f>
        <v>21.243600085638349</v>
      </c>
    </row>
    <row r="43" spans="1:18">
      <c r="A43" s="45"/>
      <c r="B43" s="121"/>
      <c r="C43" s="121"/>
      <c r="D43" s="121"/>
      <c r="E43" s="121"/>
      <c r="F43" s="121"/>
      <c r="G43" s="45"/>
      <c r="H43" s="45"/>
      <c r="I43" s="93">
        <f ca="1">Q9</f>
        <v>1079.1004999074073</v>
      </c>
      <c r="J43" s="87"/>
      <c r="K43" s="29">
        <f t="shared" si="5"/>
        <v>0.62000000000000022</v>
      </c>
      <c r="L43" s="39">
        <f t="shared" ca="1" si="4"/>
        <v>22.320000000000007</v>
      </c>
      <c r="M43" s="40">
        <f ca="1">INDIRECT(SUBSTITUTE("'S'!M43", "S", SheetA))                                       +INDIRECT(SUBSTITUTE("'S'!M43", "S", SheetB))</f>
        <v>7.5999999999999961</v>
      </c>
      <c r="N43" s="39">
        <f ca="1">INDIRECT(SUBSTITUTE("'S'!N43", "S", SheetA))                                       +INDIRECT(SUBSTITUTE("'S'!N43", "S", SheetB))</f>
        <v>-1.4725184651173293E-4</v>
      </c>
      <c r="O43" s="39">
        <f ca="1">INDIRECT(SUBSTITUTE("'S'!O43", "S", SheetA))                                       +INDIRECT(SUBSTITUTE("'S'!O43", "S", SheetB))</f>
        <v>-37.966027772633794</v>
      </c>
      <c r="P43" s="39">
        <f ca="1">INDIRECT(SUBSTITUTE("'S'!P43", "S", SheetA))                                       +INDIRECT(SUBSTITUTE("'S'!P43", "S", SheetB))</f>
        <v>-3.0691966931194155</v>
      </c>
      <c r="Q43" s="39">
        <f ca="1">INDIRECT(SUBSTITUTE("'S'!Q43", "S", SheetA))                                       +INDIRECT(SUBSTITUTE("'S'!Q43", "S", SheetB))</f>
        <v>993.46933992962931</v>
      </c>
      <c r="R43" s="41">
        <f ca="1">INDIRECT(SUBSTITUTE("'S'!R43", "S", SheetA))                                       +INDIRECT(SUBSTITUTE("'S'!R43", "S", SheetB))</f>
        <v>20.715407410855576</v>
      </c>
    </row>
    <row r="44" spans="1:18" ht="13.5" thickBot="1">
      <c r="A44" s="45"/>
      <c r="B44" s="121"/>
      <c r="C44" s="121"/>
      <c r="D44" s="121"/>
      <c r="E44" s="121"/>
      <c r="F44" s="121"/>
      <c r="G44" s="45"/>
      <c r="H44" s="45"/>
      <c r="I44" s="84" t="str">
        <f>Q7</f>
        <v>lb-in</v>
      </c>
      <c r="J44" s="87"/>
      <c r="K44" s="29">
        <f t="shared" si="5"/>
        <v>0.64000000000000024</v>
      </c>
      <c r="L44" s="39">
        <f t="shared" ref="L44:L62" ca="1" si="6">L*K44</f>
        <v>23.04000000000001</v>
      </c>
      <c r="M44" s="40">
        <f ca="1">INDIRECT(SUBSTITUTE("'S'!M44", "S", SheetA))                                       +INDIRECT(SUBSTITUTE("'S'!M44", "S", SheetB))</f>
        <v>7.199999999999994</v>
      </c>
      <c r="N44" s="39">
        <f ca="1">INDIRECT(SUBSTITUTE("'S'!N44", "S", SheetA))                                       +INDIRECT(SUBSTITUTE("'S'!N44", "S", SheetB))</f>
        <v>-1.4326184078759872E-4</v>
      </c>
      <c r="O44" s="39">
        <f ca="1">INDIRECT(SUBSTITUTE("'S'!O44", "S", SheetA))                                       +INDIRECT(SUBSTITUTE("'S'!O44", "S", SheetB))</f>
        <v>-43.294027772633811</v>
      </c>
      <c r="P44" s="39">
        <f ca="1">INDIRECT(SUBSTITUTE("'S'!P44", "S", SheetA))                                       +INDIRECT(SUBSTITUTE("'S'!P44", "S", SheetB))</f>
        <v>-3.4999154419669689</v>
      </c>
      <c r="Q44" s="39">
        <f ca="1">INDIRECT(SUBSTITUTE("'S'!Q44", "S", SheetA))                                       +INDIRECT(SUBSTITUTE("'S'!Q44", "S", SheetB))</f>
        <v>964.19843993333279</v>
      </c>
      <c r="R44" s="41">
        <f ca="1">INDIRECT(SUBSTITUTE("'S'!R44", "S", SheetA))                                       +INDIRECT(SUBSTITUTE("'S'!R44", "S", SheetB))</f>
        <v>20.105062839226783</v>
      </c>
    </row>
    <row r="45" spans="1:18" ht="14.25" thickTop="1" thickBot="1">
      <c r="A45" s="45"/>
      <c r="B45" s="121"/>
      <c r="C45" s="121"/>
      <c r="D45" s="121"/>
      <c r="E45" s="121"/>
      <c r="F45" s="121"/>
      <c r="G45" s="45"/>
      <c r="H45" s="45"/>
      <c r="I45" s="45"/>
      <c r="J45" s="87"/>
      <c r="K45" s="29">
        <f t="shared" ref="K45:K62" si="7">K44+0.02</f>
        <v>0.66000000000000025</v>
      </c>
      <c r="L45" s="39">
        <f t="shared" ca="1" si="6"/>
        <v>23.760000000000009</v>
      </c>
      <c r="M45" s="40">
        <f ca="1">INDIRECT(SUBSTITUTE("'S'!M45", "S", SheetA))                                       +INDIRECT(SUBSTITUTE("'S'!M45", "S", SheetB))</f>
        <v>6.7999999999999954</v>
      </c>
      <c r="N45" s="39">
        <f ca="1">INDIRECT(SUBSTITUTE("'S'!N45", "S", SheetA))                                       +INDIRECT(SUBSTITUTE("'S'!N45", "S", SheetB))</f>
        <v>-1.3870557949817209E-4</v>
      </c>
      <c r="O45" s="39">
        <f ca="1">INDIRECT(SUBSTITUTE("'S'!O45", "S", SheetA))                                       +INDIRECT(SUBSTITUTE("'S'!O45", "S", SheetB))</f>
        <v>-48.334027772633782</v>
      </c>
      <c r="P45" s="39">
        <f ca="1">INDIRECT(SUBSTITUTE("'S'!P45", "S", SheetA))                                       +INDIRECT(SUBSTITUTE("'S'!P45", "S", SheetB))</f>
        <v>-3.9073520962822186</v>
      </c>
      <c r="Q45" s="39">
        <f ca="1">INDIRECT(SUBSTITUTE("'S'!Q45", "S", SheetA))                                       +INDIRECT(SUBSTITUTE("'S'!Q45", "S", SheetB))</f>
        <v>931.19505993703672</v>
      </c>
      <c r="R45" s="41">
        <f ca="1">INDIRECT(SUBSTITUTE("'S'!R45", "S", SheetA))                                       +INDIRECT(SUBSTITUTE("'S'!R45", "S", SheetB))</f>
        <v>19.416890154796498</v>
      </c>
    </row>
    <row r="46" spans="1:18" ht="13.5" thickTop="1">
      <c r="A46" s="94" t="s">
        <v>298</v>
      </c>
      <c r="B46" s="121"/>
      <c r="C46" s="121"/>
      <c r="D46" s="121"/>
      <c r="E46" s="121"/>
      <c r="F46" s="121"/>
      <c r="G46" s="94" t="s">
        <v>298</v>
      </c>
      <c r="H46" s="45"/>
      <c r="I46" s="88" t="s">
        <v>325</v>
      </c>
      <c r="J46" s="87"/>
      <c r="K46" s="29">
        <f t="shared" si="7"/>
        <v>0.68000000000000027</v>
      </c>
      <c r="L46" s="39">
        <f t="shared" ca="1" si="6"/>
        <v>24.480000000000011</v>
      </c>
      <c r="M46" s="40">
        <f ca="1">INDIRECT(SUBSTITUTE("'S'!M46", "S", SheetA))                                       +INDIRECT(SUBSTITUTE("'S'!M46", "S", SheetB))</f>
        <v>6.3999999999999932</v>
      </c>
      <c r="N46" s="39">
        <f ca="1">INDIRECT(SUBSTITUTE("'S'!N46", "S", SheetA))                                       +INDIRECT(SUBSTITUTE("'S'!N46", "S", SheetB))</f>
        <v>-1.3360244100932967E-4</v>
      </c>
      <c r="O46" s="39">
        <f ca="1">INDIRECT(SUBSTITUTE("'S'!O46", "S", SheetA))                                       +INDIRECT(SUBSTITUTE("'S'!O46", "S", SheetB))</f>
        <v>-53.086027772633805</v>
      </c>
      <c r="P46" s="39">
        <f ca="1">INDIRECT(SUBSTITUTE("'S'!P46", "S", SheetA))                                       +INDIRECT(SUBSTITUTE("'S'!P46", "S", SheetB))</f>
        <v>-4.291506656065172</v>
      </c>
      <c r="Q46" s="39">
        <f ca="1">INDIRECT(SUBSTITUTE("'S'!Q46", "S", SheetA))                                       +INDIRECT(SUBSTITUTE("'S'!Q46", "S", SheetB))</f>
        <v>894.6665599407404</v>
      </c>
      <c r="R46" s="41">
        <f ca="1">INDIRECT(SUBSTITUTE("'S'!R46", "S", SheetA))                                       +INDIRECT(SUBSTITUTE("'S'!R46", "S", SheetB))</f>
        <v>18.655213141609238</v>
      </c>
    </row>
    <row r="47" spans="1:18">
      <c r="A47" s="45" t="s">
        <v>252</v>
      </c>
      <c r="B47" s="121"/>
      <c r="C47" s="121"/>
      <c r="D47" s="121"/>
      <c r="E47" s="121"/>
      <c r="F47" s="121"/>
      <c r="G47" s="94" t="s">
        <v>252</v>
      </c>
      <c r="H47" s="45"/>
      <c r="I47" s="90" t="s">
        <v>298</v>
      </c>
      <c r="J47" s="87"/>
      <c r="K47" s="29">
        <f t="shared" si="7"/>
        <v>0.70000000000000029</v>
      </c>
      <c r="L47" s="39">
        <f t="shared" ca="1" si="6"/>
        <v>25.20000000000001</v>
      </c>
      <c r="M47" s="40">
        <f ca="1">INDIRECT(SUBSTITUTE("'S'!M47", "S", SheetA))                                       +INDIRECT(SUBSTITUTE("'S'!M47", "S", SheetB))</f>
        <v>5.9999999999999947</v>
      </c>
      <c r="N47" s="39">
        <f ca="1">INDIRECT(SUBSTITUTE("'S'!N47", "S", SheetA))                                       +INDIRECT(SUBSTITUTE("'S'!N47", "S", SheetB))</f>
        <v>-1.2797387459151578E-4</v>
      </c>
      <c r="O47" s="39">
        <f ca="1">INDIRECT(SUBSTITUTE("'S'!O47", "S", SheetA))                                       +INDIRECT(SUBSTITUTE("'S'!O47", "S", SheetB))</f>
        <v>-57.55002777263379</v>
      </c>
      <c r="P47" s="39">
        <f ca="1">INDIRECT(SUBSTITUTE("'S'!P47", "S", SheetA))                                       +INDIRECT(SUBSTITUTE("'S'!P47", "S", SheetB))</f>
        <v>-4.652379121315823</v>
      </c>
      <c r="Q47" s="39">
        <f ca="1">INDIRECT(SUBSTITUTE("'S'!Q47", "S", SheetA))                                       +INDIRECT(SUBSTITUTE("'S'!Q47", "S", SheetB))</f>
        <v>854.82029994444406</v>
      </c>
      <c r="R47" s="41">
        <f ca="1">INDIRECT(SUBSTITUTE("'S'!R47", "S", SheetA))                                       +INDIRECT(SUBSTITUTE("'S'!R47", "S", SheetB))</f>
        <v>17.824355583709544</v>
      </c>
    </row>
    <row r="48" spans="1:18">
      <c r="A48" s="45"/>
      <c r="B48" s="121"/>
      <c r="C48" s="121"/>
      <c r="D48" s="121"/>
      <c r="E48" s="121"/>
      <c r="F48" s="121"/>
      <c r="G48" s="45"/>
      <c r="H48" s="45"/>
      <c r="I48" s="93">
        <f ca="1">Q8</f>
        <v>-1.7898575460525556E-12</v>
      </c>
      <c r="J48" s="87"/>
      <c r="K48" s="29">
        <f t="shared" si="7"/>
        <v>0.72000000000000031</v>
      </c>
      <c r="L48" s="39">
        <f t="shared" ca="1" si="6"/>
        <v>25.920000000000012</v>
      </c>
      <c r="M48" s="40">
        <f ca="1">INDIRECT(SUBSTITUTE("'S'!M48", "S", SheetA))                                       +INDIRECT(SUBSTITUTE("'S'!M48", "S", SheetB))</f>
        <v>5.5999999999999925</v>
      </c>
      <c r="N48" s="39">
        <f ca="1">INDIRECT(SUBSTITUTE("'S'!N48", "S", SheetA))                                       +INDIRECT(SUBSTITUTE("'S'!N48", "S", SheetB))</f>
        <v>-1.2184327860182499E-4</v>
      </c>
      <c r="O48" s="39">
        <f ca="1">INDIRECT(SUBSTITUTE("'S'!O48", "S", SheetA))                                       +INDIRECT(SUBSTITUTE("'S'!O48", "S", SheetB))</f>
        <v>-61.726027772633834</v>
      </c>
      <c r="P48" s="39">
        <f ca="1">INDIRECT(SUBSTITUTE("'S'!P48", "S", SheetA))                                       +INDIRECT(SUBSTITUTE("'S'!P48", "S", SheetB))</f>
        <v>-4.9899694920341782</v>
      </c>
      <c r="Q48" s="39">
        <f ca="1">INDIRECT(SUBSTITUTE("'S'!Q48", "S", SheetA))                                       +INDIRECT(SUBSTITUTE("'S'!Q48", "S", SheetB))</f>
        <v>811.86363994814747</v>
      </c>
      <c r="R48" s="41">
        <f ca="1">INDIRECT(SUBSTITUTE("'S'!R48", "S", SheetA))                                       +INDIRECT(SUBSTITUTE("'S'!R48", "S", SheetB))</f>
        <v>16.92864126514193</v>
      </c>
    </row>
    <row r="49" spans="1:18" ht="13.5" thickBot="1">
      <c r="A49" s="45"/>
      <c r="B49" s="121"/>
      <c r="C49" s="121"/>
      <c r="D49" s="121"/>
      <c r="E49" s="121"/>
      <c r="F49" s="121"/>
      <c r="G49" s="45"/>
      <c r="H49" s="45"/>
      <c r="I49" s="84" t="str">
        <f>Q7</f>
        <v>lb-in</v>
      </c>
      <c r="J49" s="87"/>
      <c r="K49" s="29">
        <f t="shared" si="7"/>
        <v>0.74000000000000032</v>
      </c>
      <c r="L49" s="39">
        <f t="shared" ca="1" si="6"/>
        <v>26.640000000000011</v>
      </c>
      <c r="M49" s="40">
        <f ca="1">INDIRECT(SUBSTITUTE("'S'!M49", "S", SheetA))                                       +INDIRECT(SUBSTITUTE("'S'!M49", "S", SheetB))</f>
        <v>5.199999999999994</v>
      </c>
      <c r="N49" s="39">
        <f ca="1">INDIRECT(SUBSTITUTE("'S'!N49", "S", SheetA))                                       +INDIRECT(SUBSTITUTE("'S'!N49", "S", SheetB))</f>
        <v>-1.1523587866608755E-4</v>
      </c>
      <c r="O49" s="39">
        <f ca="1">INDIRECT(SUBSTITUTE("'S'!O49", "S", SheetA))                                       +INDIRECT(SUBSTITUTE("'S'!O49", "S", SheetB))</f>
        <v>-65.61402777263379</v>
      </c>
      <c r="P49" s="39">
        <f ca="1">INDIRECT(SUBSTITUTE("'S'!P49", "S", SheetA))                                       +INDIRECT(SUBSTITUTE("'S'!P49", "S", SheetB))</f>
        <v>-5.3042777682202269</v>
      </c>
      <c r="Q49" s="39">
        <f ca="1">INDIRECT(SUBSTITUTE("'S'!Q49", "S", SheetA))                                       +INDIRECT(SUBSTITUTE("'S'!Q49", "S", SheetB))</f>
        <v>766.00393995185129</v>
      </c>
      <c r="R49" s="41">
        <f ca="1">INDIRECT(SUBSTITUTE("'S'!R49", "S", SheetA))                                       +INDIRECT(SUBSTITUTE("'S'!R49", "S", SheetB))</f>
        <v>15.972393969950939</v>
      </c>
    </row>
    <row r="50" spans="1:18" ht="13.5" thickTop="1">
      <c r="A50" s="45"/>
      <c r="B50" s="121"/>
      <c r="C50" s="121"/>
      <c r="D50" s="121"/>
      <c r="E50" s="121"/>
      <c r="F50" s="121"/>
      <c r="G50" s="45"/>
      <c r="H50" s="45"/>
      <c r="I50" s="45"/>
      <c r="J50" s="87"/>
      <c r="K50" s="29">
        <f t="shared" si="7"/>
        <v>0.76000000000000034</v>
      </c>
      <c r="L50" s="39">
        <f t="shared" ca="1" si="6"/>
        <v>27.360000000000014</v>
      </c>
      <c r="M50" s="40">
        <f ca="1">INDIRECT(SUBSTITUTE("'S'!M50", "S", SheetA))                                       +INDIRECT(SUBSTITUTE("'S'!M50", "S", SheetB))</f>
        <v>4.7999999999999918</v>
      </c>
      <c r="N50" s="39">
        <f ca="1">INDIRECT(SUBSTITUTE("'S'!N50", "S", SheetA))                                       +INDIRECT(SUBSTITUTE("'S'!N50", "S", SheetB))</f>
        <v>-1.0817860586095318E-4</v>
      </c>
      <c r="O50" s="39">
        <f ca="1">INDIRECT(SUBSTITUTE("'S'!O50", "S", SheetA))                                       +INDIRECT(SUBSTITUTE("'S'!O50", "S", SheetB))</f>
        <v>-69.214027772633813</v>
      </c>
      <c r="P50" s="39">
        <f ca="1">INDIRECT(SUBSTITUTE("'S'!P50", "S", SheetA))                                       +INDIRECT(SUBSTITUTE("'S'!P50", "S", SheetB))</f>
        <v>-5.5953039498739789</v>
      </c>
      <c r="Q50" s="39">
        <f ca="1">INDIRECT(SUBSTITUTE("'S'!Q50", "S", SheetA))                                       +INDIRECT(SUBSTITUTE("'S'!Q50", "S", SheetB))</f>
        <v>717.4485599555544</v>
      </c>
      <c r="R50" s="41">
        <f ca="1">INDIRECT(SUBSTITUTE("'S'!R50", "S", SheetA))                                       +INDIRECT(SUBSTITUTE("'S'!R50", "S", SheetB))</f>
        <v>14.959937482181076</v>
      </c>
    </row>
    <row r="51" spans="1:18">
      <c r="A51" s="45"/>
      <c r="B51" s="121"/>
      <c r="C51" s="121"/>
      <c r="D51" s="121"/>
      <c r="E51" s="121"/>
      <c r="F51" s="121"/>
      <c r="G51" s="45"/>
      <c r="H51" s="45"/>
      <c r="I51" s="45"/>
      <c r="J51" s="87"/>
      <c r="K51" s="29">
        <f t="shared" si="7"/>
        <v>0.78000000000000036</v>
      </c>
      <c r="L51" s="39">
        <f t="shared" ca="1" si="6"/>
        <v>28.080000000000013</v>
      </c>
      <c r="M51" s="40">
        <f ca="1">INDIRECT(SUBSTITUTE("'S'!M51", "S", SheetA))                                       +INDIRECT(SUBSTITUTE("'S'!M51", "S", SheetB))</f>
        <v>4.3999999999999915</v>
      </c>
      <c r="N51" s="39">
        <f ca="1">INDIRECT(SUBSTITUTE("'S'!N51", "S", SheetA))                                       +INDIRECT(SUBSTITUTE("'S'!N51", "S", SheetB))</f>
        <v>-1.0069997489597579E-4</v>
      </c>
      <c r="O51" s="39">
        <f ca="1">INDIRECT(SUBSTITUTE("'S'!O51", "S", SheetA))                                       +INDIRECT(SUBSTITUTE("'S'!O51", "S", SheetB))</f>
        <v>-72.526027772633796</v>
      </c>
      <c r="P51" s="39">
        <f ca="1">INDIRECT(SUBSTITUTE("'S'!P51", "S", SheetA))                                       +INDIRECT(SUBSTITUTE("'S'!P51", "S", SheetB))</f>
        <v>-5.863048036995429</v>
      </c>
      <c r="Q51" s="39">
        <f ca="1">INDIRECT(SUBSTITUTE("'S'!Q51", "S", SheetA))                                       +INDIRECT(SUBSTITUTE("'S'!Q51", "S", SheetB))</f>
        <v>666.40485995925815</v>
      </c>
      <c r="R51" s="41">
        <f ca="1">INDIRECT(SUBSTITUTE("'S'!R51", "S", SheetA))                                       +INDIRECT(SUBSTITUTE("'S'!R51", "S", SheetB))</f>
        <v>13.895595585876896</v>
      </c>
    </row>
    <row r="52" spans="1:18">
      <c r="A52" s="45"/>
      <c r="B52" s="121"/>
      <c r="C52" s="121"/>
      <c r="D52" s="121"/>
      <c r="E52" s="121"/>
      <c r="F52" s="121"/>
      <c r="G52" s="45"/>
      <c r="H52" s="45"/>
      <c r="I52" s="45"/>
      <c r="J52" s="87"/>
      <c r="K52" s="29">
        <f t="shared" si="7"/>
        <v>0.80000000000000038</v>
      </c>
      <c r="L52" s="39">
        <f t="shared" ca="1" si="6"/>
        <v>28.800000000000015</v>
      </c>
      <c r="M52" s="40">
        <f ca="1">INDIRECT(SUBSTITUTE("'S'!M52", "S", SheetA))                                       +INDIRECT(SUBSTITUTE("'S'!M52", "S", SheetB))</f>
        <v>3.9999999999999893</v>
      </c>
      <c r="N52" s="39">
        <f ca="1">INDIRECT(SUBSTITUTE("'S'!N52", "S", SheetA))                                       +INDIRECT(SUBSTITUTE("'S'!N52", "S", SheetB))</f>
        <v>-9.2829962295697122E-5</v>
      </c>
      <c r="O52" s="39">
        <f ca="1">INDIRECT(SUBSTITUTE("'S'!O52", "S", SheetA))                                       +INDIRECT(SUBSTITUTE("'S'!O52", "S", SheetB))</f>
        <v>-75.550027772633797</v>
      </c>
      <c r="P52" s="39">
        <f ca="1">INDIRECT(SUBSTITUTE("'S'!P52", "S", SheetA))                                       +INDIRECT(SUBSTITUTE("'S'!P52", "S", SheetB))</f>
        <v>-6.1075100295845797</v>
      </c>
      <c r="Q52" s="39">
        <f ca="1">INDIRECT(SUBSTITUTE("'S'!Q52", "S", SheetA))                                       +INDIRECT(SUBSTITUTE("'S'!Q52", "S", SheetB))</f>
        <v>613.08019996296173</v>
      </c>
      <c r="R52" s="41">
        <f ca="1">INDIRECT(SUBSTITUTE("'S'!R52", "S", SheetA))                                       +INDIRECT(SUBSTITUTE("'S'!R52", "S", SheetB))</f>
        <v>12.783692065082906</v>
      </c>
    </row>
    <row r="53" spans="1:18">
      <c r="A53" s="45"/>
      <c r="B53" s="121"/>
      <c r="C53" s="121"/>
      <c r="D53" s="121"/>
      <c r="E53" s="121"/>
      <c r="F53" s="121"/>
      <c r="G53" s="45"/>
      <c r="H53" s="45"/>
      <c r="I53" s="45"/>
      <c r="J53" s="87"/>
      <c r="K53" s="29">
        <f t="shared" si="7"/>
        <v>0.8200000000000004</v>
      </c>
      <c r="L53" s="39">
        <f t="shared" ca="1" si="6"/>
        <v>29.520000000000014</v>
      </c>
      <c r="M53" s="40">
        <f ca="1">INDIRECT(SUBSTITUTE("'S'!M53", "S", SheetA))                                       +INDIRECT(SUBSTITUTE("'S'!M53", "S", SheetB))</f>
        <v>3.5999999999999908</v>
      </c>
      <c r="N53" s="39">
        <f ca="1">INDIRECT(SUBSTITUTE("'S'!N53", "S", SheetA))                                       +INDIRECT(SUBSTITUTE("'S'!N53", "S", SheetB))</f>
        <v>-8.4599884581731927E-5</v>
      </c>
      <c r="O53" s="39">
        <f ca="1">INDIRECT(SUBSTITUTE("'S'!O53", "S", SheetA))                                       +INDIRECT(SUBSTITUTE("'S'!O53", "S", SheetB))</f>
        <v>-78.286027772633787</v>
      </c>
      <c r="P53" s="39">
        <f ca="1">INDIRECT(SUBSTITUTE("'S'!P53", "S", SheetA))                                       +INDIRECT(SUBSTITUTE("'S'!P53", "S", SheetB))</f>
        <v>-6.328689927641431</v>
      </c>
      <c r="Q53" s="39">
        <f ca="1">INDIRECT(SUBSTITUTE("'S'!Q53", "S", SheetA))                                       +INDIRECT(SUBSTITUTE("'S'!Q53", "S", SheetB))</f>
        <v>557.68193996666548</v>
      </c>
      <c r="R53" s="41">
        <f ca="1">INDIRECT(SUBSTITUTE("'S'!R53", "S", SheetA))                                       +INDIRECT(SUBSTITUTE("'S'!R53", "S", SheetB))</f>
        <v>11.628550703843651</v>
      </c>
    </row>
    <row r="54" spans="1:18">
      <c r="A54" s="45"/>
      <c r="B54" s="121"/>
      <c r="C54" s="121"/>
      <c r="D54" s="121"/>
      <c r="E54" s="121"/>
      <c r="F54" s="121"/>
      <c r="G54" s="45"/>
      <c r="H54" s="45"/>
      <c r="I54" s="45"/>
      <c r="J54" s="87"/>
      <c r="K54" s="29">
        <f t="shared" si="7"/>
        <v>0.84000000000000041</v>
      </c>
      <c r="L54" s="39">
        <f t="shared" ca="1" si="6"/>
        <v>30.240000000000016</v>
      </c>
      <c r="M54" s="40">
        <f ca="1">INDIRECT(SUBSTITUTE("'S'!M54", "S", SheetA))                                       +INDIRECT(SUBSTITUTE("'S'!M54", "S", SheetB))</f>
        <v>3.1999999999999886</v>
      </c>
      <c r="N54" s="39">
        <f ca="1">INDIRECT(SUBSTITUTE("'S'!N54", "S", SheetA))                                       +INDIRECT(SUBSTITUTE("'S'!N54", "S", SheetB))</f>
        <v>-7.6042276454851376E-5</v>
      </c>
      <c r="O54" s="39">
        <f ca="1">INDIRECT(SUBSTITUTE("'S'!O54", "S", SheetA))                                       +INDIRECT(SUBSTITUTE("'S'!O54", "S", SheetB))</f>
        <v>-80.734027772633794</v>
      </c>
      <c r="P54" s="39">
        <f ca="1">INDIRECT(SUBSTITUTE("'S'!P54", "S", SheetA))                                       +INDIRECT(SUBSTITUTE("'S'!P54", "S", SheetB))</f>
        <v>-6.5265877311659821</v>
      </c>
      <c r="Q54" s="39">
        <f ca="1">INDIRECT(SUBSTITUTE("'S'!Q54", "S", SheetA))                                       +INDIRECT(SUBSTITUTE("'S'!Q54", "S", SheetB))</f>
        <v>500.41743997036889</v>
      </c>
      <c r="R54" s="41">
        <f ca="1">INDIRECT(SUBSTITUTE("'S'!R54", "S", SheetA))                                       +INDIRECT(SUBSTITUTE("'S'!R54", "S", SheetB))</f>
        <v>10.434495286203637</v>
      </c>
    </row>
    <row r="55" spans="1:18">
      <c r="A55" s="45"/>
      <c r="B55" s="45"/>
      <c r="C55" s="45"/>
      <c r="D55" s="45"/>
      <c r="E55" s="45"/>
      <c r="F55" s="45"/>
      <c r="G55" s="45"/>
      <c r="H55" s="45"/>
      <c r="I55" s="45"/>
      <c r="J55" s="87"/>
      <c r="K55" s="29">
        <f t="shared" si="7"/>
        <v>0.86000000000000043</v>
      </c>
      <c r="L55" s="39">
        <f t="shared" ca="1" si="6"/>
        <v>30.960000000000015</v>
      </c>
      <c r="M55" s="40">
        <f ca="1">INDIRECT(SUBSTITUTE("'S'!M55", "S", SheetA))                                       +INDIRECT(SUBSTITUTE("'S'!M55", "S", SheetB))</f>
        <v>2.7999999999999901</v>
      </c>
      <c r="N55" s="39">
        <f ca="1">INDIRECT(SUBSTITUTE("'S'!N55", "S", SheetA))                                       +INDIRECT(SUBSTITUTE("'S'!N55", "S", SheetB))</f>
        <v>-6.7190768977069723E-5</v>
      </c>
      <c r="O55" s="39">
        <f ca="1">INDIRECT(SUBSTITUTE("'S'!O55", "S", SheetA))                                       +INDIRECT(SUBSTITUTE("'S'!O55", "S", SheetB))</f>
        <v>-82.894027772633763</v>
      </c>
      <c r="P55" s="39">
        <f ca="1">INDIRECT(SUBSTITUTE("'S'!P55", "S", SheetA))                                       +INDIRECT(SUBSTITUTE("'S'!P55", "S", SheetB))</f>
        <v>-6.7012034401582303</v>
      </c>
      <c r="Q55" s="39">
        <f ca="1">INDIRECT(SUBSTITUTE("'S'!Q55", "S", SheetA))                                       +INDIRECT(SUBSTITUTE("'S'!Q55", "S", SheetB))</f>
        <v>441.49405997407291</v>
      </c>
      <c r="R55" s="41">
        <f ca="1">INDIRECT(SUBSTITUTE("'S'!R55", "S", SheetA))                                       +INDIRECT(SUBSTITUTE("'S'!R55", "S", SheetB))</f>
        <v>9.2058495962074165</v>
      </c>
    </row>
    <row r="56" spans="1:18">
      <c r="A56" s="45"/>
      <c r="B56" s="45"/>
      <c r="C56" s="45"/>
      <c r="D56" s="46"/>
      <c r="E56" s="45"/>
      <c r="F56" s="45"/>
      <c r="G56" s="45"/>
      <c r="H56" s="45"/>
      <c r="I56" s="45"/>
      <c r="J56" s="87"/>
      <c r="K56" s="29">
        <f t="shared" si="7"/>
        <v>0.88000000000000045</v>
      </c>
      <c r="L56" s="39">
        <f t="shared" ca="1" si="6"/>
        <v>31.680000000000017</v>
      </c>
      <c r="M56" s="40">
        <f ca="1">INDIRECT(SUBSTITUTE("'S'!M56", "S", SheetA))                                       +INDIRECT(SUBSTITUTE("'S'!M56", "S", SheetB))</f>
        <v>2.3999999999999879</v>
      </c>
      <c r="N56" s="39">
        <f ca="1">INDIRECT(SUBSTITUTE("'S'!N56", "S", SheetA))                                       +INDIRECT(SUBSTITUTE("'S'!N56", "S", SheetB))</f>
        <v>-5.8079967753723292E-5</v>
      </c>
      <c r="O56" s="39">
        <f ca="1">INDIRECT(SUBSTITUTE("'S'!O56", "S", SheetA))                                       +INDIRECT(SUBSTITUTE("'S'!O56", "S", SheetB))</f>
        <v>-84.766027772633805</v>
      </c>
      <c r="P56" s="39">
        <f ca="1">INDIRECT(SUBSTITUTE("'S'!P56", "S", SheetA))                                       +INDIRECT(SUBSTITUTE("'S'!P56", "S", SheetB))</f>
        <v>-6.8525370546181845</v>
      </c>
      <c r="Q56" s="39">
        <f ca="1">INDIRECT(SUBSTITUTE("'S'!Q56", "S", SheetA))                                       +INDIRECT(SUBSTITUTE("'S'!Q56", "S", SheetB))</f>
        <v>381.11915997777612</v>
      </c>
      <c r="R56" s="41">
        <f ca="1">INDIRECT(SUBSTITUTE("'S'!R56", "S", SheetA))                                       +INDIRECT(SUBSTITUTE("'S'!R56", "S", SheetB))</f>
        <v>7.9469374178994867</v>
      </c>
    </row>
    <row r="57" spans="1:18">
      <c r="A57" s="45"/>
      <c r="B57" s="45"/>
      <c r="C57" s="45"/>
      <c r="D57" s="46"/>
      <c r="E57" s="45"/>
      <c r="F57" s="45"/>
      <c r="G57" s="45"/>
      <c r="H57" s="45"/>
      <c r="I57" s="45"/>
      <c r="J57" s="87"/>
      <c r="K57" s="29">
        <f t="shared" si="7"/>
        <v>0.90000000000000047</v>
      </c>
      <c r="L57" s="39">
        <f t="shared" ca="1" si="6"/>
        <v>32.40000000000002</v>
      </c>
      <c r="M57" s="40">
        <f ca="1">INDIRECT(SUBSTITUTE("'S'!M57", "S", SheetA))                                       +INDIRECT(SUBSTITUTE("'S'!M57", "S", SheetB))</f>
        <v>1.9999999999999893</v>
      </c>
      <c r="N57" s="39">
        <f ca="1">INDIRECT(SUBSTITUTE("'S'!N57", "S", SheetA))                                       +INDIRECT(SUBSTITUTE("'S'!N57", "S", SheetB))</f>
        <v>-4.8745331115560123E-5</v>
      </c>
      <c r="O57" s="39">
        <f ca="1">INDIRECT(SUBSTITUTE("'S'!O57", "S", SheetA))                                       +INDIRECT(SUBSTITUTE("'S'!O57", "S", SheetB))</f>
        <v>-86.350027772633752</v>
      </c>
      <c r="P57" s="39">
        <f ca="1">INDIRECT(SUBSTITUTE("'S'!P57", "S", SheetA))                                       +INDIRECT(SUBSTITUTE("'S'!P57", "S", SheetB))</f>
        <v>-6.9805885745458314</v>
      </c>
      <c r="Q57" s="39">
        <f ca="1">INDIRECT(SUBSTITUTE("'S'!Q57", "S", SheetA))                                       +INDIRECT(SUBSTITUTE("'S'!Q57", "S", SheetB))</f>
        <v>319.50009998148028</v>
      </c>
      <c r="R57" s="41">
        <f ca="1">INDIRECT(SUBSTITUTE("'S'!R57", "S", SheetA))                                       +INDIRECT(SUBSTITUTE("'S'!R57", "S", SheetB))</f>
        <v>6.6620825353244104</v>
      </c>
    </row>
    <row r="58" spans="1:18">
      <c r="A58" s="45"/>
      <c r="B58" s="45"/>
      <c r="C58" s="45"/>
      <c r="D58" s="46"/>
      <c r="E58" s="45"/>
      <c r="F58" s="45"/>
      <c r="G58" s="45"/>
      <c r="H58" s="45"/>
      <c r="I58" s="45"/>
      <c r="J58" s="87"/>
      <c r="K58" s="29">
        <f t="shared" si="7"/>
        <v>0.92000000000000048</v>
      </c>
      <c r="L58" s="39">
        <f t="shared" ca="1" si="6"/>
        <v>33.120000000000019</v>
      </c>
      <c r="M58" s="40">
        <f ca="1">INDIRECT(SUBSTITUTE("'S'!M58", "S", SheetA))                                       +INDIRECT(SUBSTITUTE("'S'!M58", "S", SheetB))</f>
        <v>1.5999999999999872</v>
      </c>
      <c r="N58" s="39">
        <f ca="1">INDIRECT(SUBSTITUTE("'S'!N58", "S", SheetA))                                       +INDIRECT(SUBSTITUTE("'S'!N58", "S", SheetB))</f>
        <v>-3.9223048300823587E-5</v>
      </c>
      <c r="O58" s="39">
        <f ca="1">INDIRECT(SUBSTITUTE("'S'!O58", "S", SheetA))                                       +INDIRECT(SUBSTITUTE("'S'!O58", "S", SheetB))</f>
        <v>-87.646027772633772</v>
      </c>
      <c r="P58" s="39">
        <f ca="1">INDIRECT(SUBSTITUTE("'S'!P58", "S", SheetA))                                       +INDIRECT(SUBSTITUTE("'S'!P58", "S", SheetB))</f>
        <v>-7.0853579999411833</v>
      </c>
      <c r="Q58" s="39">
        <f ca="1">INDIRECT(SUBSTITUTE("'S'!Q58", "S", SheetA))                                       +INDIRECT(SUBSTITUTE("'S'!Q58", "S", SheetB))</f>
        <v>256.84423998518372</v>
      </c>
      <c r="R58" s="41">
        <f ca="1">INDIRECT(SUBSTITUTE("'S'!R58", "S", SheetA))                                       +INDIRECT(SUBSTITUTE("'S'!R58", "S", SheetB))</f>
        <v>5.3556087325266839</v>
      </c>
    </row>
    <row r="59" spans="1:18" ht="15">
      <c r="A59" s="45"/>
      <c r="B59" s="45"/>
      <c r="C59" s="131"/>
      <c r="D59" s="46"/>
      <c r="E59" s="45"/>
      <c r="F59" s="45"/>
      <c r="G59" s="45"/>
      <c r="H59" s="45"/>
      <c r="I59" s="45"/>
      <c r="J59" s="87"/>
      <c r="K59" s="29">
        <f t="shared" si="7"/>
        <v>0.9400000000000005</v>
      </c>
      <c r="L59" s="39">
        <f t="shared" ca="1" si="6"/>
        <v>33.840000000000018</v>
      </c>
      <c r="M59" s="40">
        <f ca="1">INDIRECT(SUBSTITUTE("'S'!M59", "S", SheetA))                                       +INDIRECT(SUBSTITUTE("'S'!M59", "S", SheetB))</f>
        <v>1.1999999999999886</v>
      </c>
      <c r="N59" s="39">
        <f ca="1">INDIRECT(SUBSTITUTE("'S'!N59", "S", SheetA))                                       +INDIRECT(SUBSTITUTE("'S'!N59", "S", SheetB))</f>
        <v>-2.9549917637333739E-5</v>
      </c>
      <c r="O59" s="39">
        <f ca="1">INDIRECT(SUBSTITUTE("'S'!O59", "S", SheetA))                                       +INDIRECT(SUBSTITUTE("'S'!O59", "S", SheetB))</f>
        <v>-88.654027772633754</v>
      </c>
      <c r="P59" s="39">
        <f ca="1">INDIRECT(SUBSTITUTE("'S'!P59", "S", SheetA))                                       +INDIRECT(SUBSTITUTE("'S'!P59", "S", SheetB))</f>
        <v>-7.1668453308042324</v>
      </c>
      <c r="Q59" s="39">
        <f ca="1">INDIRECT(SUBSTITUTE("'S'!Q59", "S", SheetA))                                       +INDIRECT(SUBSTITUTE("'S'!Q59", "S", SheetB))</f>
        <v>193.35893998888787</v>
      </c>
      <c r="R59" s="41">
        <f ca="1">INDIRECT(SUBSTITUTE("'S'!R59", "S", SheetA))                                       +INDIRECT(SUBSTITUTE("'S'!R59", "S", SheetB))</f>
        <v>4.0318397935508612</v>
      </c>
    </row>
    <row r="60" spans="1:18" ht="15">
      <c r="A60" s="45"/>
      <c r="B60" s="45"/>
      <c r="C60" s="131"/>
      <c r="D60" s="46"/>
      <c r="E60" s="45"/>
      <c r="F60" s="45"/>
      <c r="G60" s="45"/>
      <c r="H60" s="45"/>
      <c r="I60" s="45"/>
      <c r="J60" s="87"/>
      <c r="K60" s="29">
        <f t="shared" si="7"/>
        <v>0.96000000000000052</v>
      </c>
      <c r="L60" s="39">
        <f t="shared" ca="1" si="6"/>
        <v>34.560000000000016</v>
      </c>
      <c r="M60" s="40">
        <f ca="1">INDIRECT(SUBSTITUTE("'S'!M60", "S", SheetA))                                       +INDIRECT(SUBSTITUTE("'S'!M60", "S", SheetB))</f>
        <v>0.79999999999999005</v>
      </c>
      <c r="N60" s="39">
        <f ca="1">INDIRECT(SUBSTITUTE("'S'!N60", "S", SheetA))                                       +INDIRECT(SUBSTITUTE("'S'!N60", "S", SheetB))</f>
        <v>-1.9763224724574378E-5</v>
      </c>
      <c r="O60" s="39">
        <f ca="1">INDIRECT(SUBSTITUTE("'S'!O60", "S", SheetA))                                       +INDIRECT(SUBSTITUTE("'S'!O60", "S", SheetB))</f>
        <v>-89.374027772633724</v>
      </c>
      <c r="P60" s="39">
        <f ca="1">INDIRECT(SUBSTITUTE("'S'!P60", "S", SheetA))                                       +INDIRECT(SUBSTITUTE("'S'!P60", "S", SheetB))</f>
        <v>-7.2250505671349803</v>
      </c>
      <c r="Q60" s="39">
        <f ca="1">INDIRECT(SUBSTITUTE("'S'!Q60", "S", SheetA))                                       +INDIRECT(SUBSTITUTE("'S'!Q60", "S", SheetB))</f>
        <v>129.25155999259175</v>
      </c>
      <c r="R60" s="41">
        <f ca="1">INDIRECT(SUBSTITUTE("'S'!R60", "S", SheetA))                                       +INDIRECT(SUBSTITUTE("'S'!R60", "S", SheetB))</f>
        <v>2.6950995024414492</v>
      </c>
    </row>
    <row r="61" spans="1:18">
      <c r="A61" s="45"/>
      <c r="B61" s="45"/>
      <c r="C61" s="45"/>
      <c r="D61" s="46"/>
      <c r="E61" s="45"/>
      <c r="F61" s="45"/>
      <c r="G61" s="45"/>
      <c r="H61" s="45"/>
      <c r="I61" s="45"/>
      <c r="J61" s="87"/>
      <c r="K61" s="29">
        <f t="shared" si="7"/>
        <v>0.98000000000000054</v>
      </c>
      <c r="L61" s="39">
        <f t="shared" ca="1" si="6"/>
        <v>35.280000000000022</v>
      </c>
      <c r="M61" s="40">
        <f ca="1">INDIRECT(SUBSTITUTE("'S'!M61", "S", SheetA))                                       +INDIRECT(SUBSTITUTE("'S'!M61", "S", SheetB))</f>
        <v>0.39999999999998792</v>
      </c>
      <c r="N61" s="39">
        <f ca="1">INDIRECT(SUBSTITUTE("'S'!N61", "S", SheetA))                                       +INDIRECT(SUBSTITUTE("'S'!N61", "S", SheetB))</f>
        <v>-9.900620615776025E-6</v>
      </c>
      <c r="O61" s="39">
        <f ca="1">INDIRECT(SUBSTITUTE("'S'!O61", "S", SheetA))                                       +INDIRECT(SUBSTITUTE("'S'!O61", "S", SheetB))</f>
        <v>-89.806027772633769</v>
      </c>
      <c r="P61" s="39">
        <f ca="1">INDIRECT(SUBSTITUTE("'S'!P61", "S", SheetA))                                       +INDIRECT(SUBSTITUTE("'S'!P61", "S", SheetB))</f>
        <v>-7.2599737089334342</v>
      </c>
      <c r="Q61" s="39">
        <f ca="1">INDIRECT(SUBSTITUTE("'S'!Q61", "S", SheetA))                                       +INDIRECT(SUBSTITUTE("'S'!Q61", "S", SheetB))</f>
        <v>64.729459996294935</v>
      </c>
      <c r="R61" s="41">
        <f ca="1">INDIRECT(SUBSTITUTE("'S'!R61", "S", SheetA))                                       +INDIRECT(SUBSTITUTE("'S'!R61", "S", SheetB))</f>
        <v>1.3497116432429688</v>
      </c>
    </row>
    <row r="62" spans="1:18" ht="13.5" thickBot="1">
      <c r="A62" s="45"/>
      <c r="B62" s="45"/>
      <c r="C62" s="132"/>
      <c r="D62" s="45"/>
      <c r="E62" s="45"/>
      <c r="F62" s="45"/>
      <c r="G62" s="45"/>
      <c r="H62" s="45"/>
      <c r="I62" s="45"/>
      <c r="J62" s="87"/>
      <c r="K62" s="34">
        <f t="shared" si="7"/>
        <v>1.0000000000000004</v>
      </c>
      <c r="L62" s="42">
        <f t="shared" ca="1" si="6"/>
        <v>36.000000000000014</v>
      </c>
      <c r="M62" s="43">
        <f ca="1">INDIRECT(SUBSTITUTE("'S'!M62", "S", SheetA))                                       +INDIRECT(SUBSTITUTE("'S'!M62", "S", SheetB))</f>
        <v>-7.1054273576010019E-15</v>
      </c>
      <c r="N62" s="42">
        <f ca="1">INDIRECT(SUBSTITUTE("'S'!N62", "S", SheetA))                                       +INDIRECT(SUBSTITUTE("'S'!N62", "S", SheetB))</f>
        <v>1.8973538018496328E-19</v>
      </c>
      <c r="O62" s="42">
        <f ca="1">INDIRECT(SUBSTITUTE("'S'!O62", "S", SheetA))                                       +INDIRECT(SUBSTITUTE("'S'!O62", "S", SheetB))</f>
        <v>-89.950027772633746</v>
      </c>
      <c r="P62" s="42">
        <f ca="1">INDIRECT(SUBSTITUTE("'S'!P62", "S", SheetA))                                       +INDIRECT(SUBSTITUTE("'S'!P62", "S", SheetB))</f>
        <v>-7.2716147561995816</v>
      </c>
      <c r="Q62" s="42">
        <f ca="1">INDIRECT(SUBSTITUTE("'S'!Q62", "S", SheetA))                                       +INDIRECT(SUBSTITUTE("'S'!Q62", "S", SheetB))</f>
        <v>-1.7898575460525556E-12</v>
      </c>
      <c r="R62" s="44">
        <f ca="1">INDIRECT(SUBSTITUTE("'S'!R62", "S", SheetA))                                       +INDIRECT(SUBSTITUTE("'S'!R62", "S", SheetB))</f>
        <v>-3.7321361398530144E-14</v>
      </c>
    </row>
    <row r="63" spans="1:18" ht="13.5" thickTop="1">
      <c r="J63" s="320"/>
    </row>
    <row r="64" spans="1:18">
      <c r="J64" s="320"/>
    </row>
    <row r="65" spans="10:10">
      <c r="J65" s="320"/>
    </row>
    <row r="66" spans="10:10">
      <c r="J66" s="320"/>
    </row>
    <row r="67" spans="10:10">
      <c r="J67" s="320"/>
    </row>
    <row r="68" spans="10:10">
      <c r="J68" s="320"/>
    </row>
    <row r="69" spans="10:10">
      <c r="J69" s="320"/>
    </row>
    <row r="70" spans="10:10">
      <c r="J70" s="320"/>
    </row>
    <row r="71" spans="10:10">
      <c r="J71" s="320"/>
    </row>
    <row r="72" spans="10:10">
      <c r="J72" s="320"/>
    </row>
    <row r="73" spans="10:10">
      <c r="J73" s="320"/>
    </row>
    <row r="74" spans="10:10">
      <c r="J74" s="320"/>
    </row>
    <row r="75" spans="10:10">
      <c r="J75" s="320"/>
    </row>
    <row r="76" spans="10:10">
      <c r="J76" s="320"/>
    </row>
    <row r="77" spans="10:10">
      <c r="J77" s="320"/>
    </row>
    <row r="78" spans="10:10">
      <c r="J78" s="320"/>
    </row>
    <row r="79" spans="10:10">
      <c r="J79" s="320"/>
    </row>
    <row r="80" spans="10:10">
      <c r="J80" s="320"/>
    </row>
    <row r="81" spans="1:10">
      <c r="J81" s="320"/>
    </row>
    <row r="82" spans="1:10">
      <c r="A82" s="326"/>
      <c r="B82" s="327"/>
      <c r="C82" s="328"/>
      <c r="D82" s="327"/>
      <c r="E82" s="327"/>
      <c r="F82" s="326"/>
      <c r="G82" s="326"/>
      <c r="H82" s="326"/>
      <c r="J82" s="320"/>
    </row>
    <row r="83" spans="1:10">
      <c r="A83" s="326"/>
      <c r="B83" s="327"/>
      <c r="C83" s="328"/>
      <c r="D83" s="327"/>
      <c r="E83" s="327"/>
      <c r="F83" s="326"/>
      <c r="G83" s="326"/>
      <c r="H83" s="326"/>
      <c r="I83" s="326"/>
    </row>
    <row r="84" spans="1:10">
      <c r="A84" s="326"/>
      <c r="B84" s="327"/>
      <c r="C84" s="328"/>
      <c r="D84" s="327"/>
      <c r="E84" s="327"/>
      <c r="F84" s="326"/>
      <c r="G84" s="326"/>
      <c r="H84" s="326"/>
      <c r="I84" s="326"/>
    </row>
    <row r="85" spans="1:10">
      <c r="A85" s="326"/>
      <c r="B85" s="327"/>
      <c r="C85" s="328"/>
      <c r="D85" s="327"/>
      <c r="E85" s="327"/>
      <c r="F85" s="326"/>
      <c r="G85" s="326"/>
      <c r="H85" s="326"/>
      <c r="I85" s="326"/>
    </row>
    <row r="86" spans="1:10">
      <c r="A86" s="326"/>
      <c r="B86" s="327"/>
      <c r="C86" s="328"/>
      <c r="D86" s="327"/>
      <c r="E86" s="327"/>
      <c r="F86" s="326"/>
      <c r="G86" s="326"/>
      <c r="H86" s="326"/>
      <c r="I86" s="326"/>
    </row>
    <row r="87" spans="1:10">
      <c r="A87" s="326"/>
      <c r="B87" s="327"/>
      <c r="C87" s="328"/>
      <c r="D87" s="327"/>
      <c r="E87" s="327"/>
      <c r="F87" s="326"/>
      <c r="G87" s="326"/>
      <c r="H87" s="326"/>
      <c r="I87" s="326"/>
    </row>
    <row r="88" spans="1:10">
      <c r="A88" s="326"/>
      <c r="B88" s="327"/>
      <c r="C88" s="328"/>
      <c r="D88" s="327"/>
      <c r="E88" s="327"/>
      <c r="F88" s="326"/>
      <c r="G88" s="326"/>
      <c r="H88" s="326"/>
      <c r="I88" s="326"/>
    </row>
    <row r="89" spans="1:10">
      <c r="A89" s="326"/>
      <c r="B89" s="327"/>
      <c r="C89" s="328"/>
      <c r="D89" s="327"/>
      <c r="E89" s="327"/>
      <c r="F89" s="326"/>
      <c r="G89" s="326"/>
      <c r="H89" s="326"/>
      <c r="I89" s="326"/>
    </row>
    <row r="90" spans="1:10">
      <c r="A90" s="326"/>
      <c r="B90" s="327"/>
      <c r="C90" s="328"/>
      <c r="D90" s="327"/>
      <c r="E90" s="327"/>
      <c r="F90" s="326"/>
      <c r="G90" s="326"/>
      <c r="H90" s="326"/>
      <c r="I90" s="326"/>
    </row>
    <row r="91" spans="1:10">
      <c r="A91" s="326"/>
      <c r="B91" s="327"/>
      <c r="C91" s="328"/>
      <c r="D91" s="327"/>
      <c r="E91" s="327"/>
      <c r="F91" s="326"/>
      <c r="G91" s="326"/>
      <c r="H91" s="326"/>
      <c r="I91" s="326"/>
    </row>
    <row r="92" spans="1:10">
      <c r="A92" s="326"/>
      <c r="B92" s="327"/>
      <c r="C92" s="328"/>
      <c r="D92" s="327"/>
      <c r="E92" s="327"/>
      <c r="F92" s="326"/>
      <c r="G92" s="326"/>
      <c r="H92" s="326"/>
      <c r="I92" s="326"/>
    </row>
    <row r="93" spans="1:10">
      <c r="A93" s="326"/>
      <c r="B93" s="327"/>
      <c r="C93" s="328"/>
      <c r="D93" s="327"/>
      <c r="E93" s="327"/>
      <c r="F93" s="326"/>
      <c r="G93" s="326"/>
      <c r="H93" s="326"/>
      <c r="I93" s="326"/>
    </row>
    <row r="94" spans="1:10">
      <c r="A94" s="326"/>
      <c r="B94" s="327"/>
      <c r="C94" s="328"/>
      <c r="D94" s="327"/>
      <c r="E94" s="327"/>
      <c r="F94" s="326"/>
      <c r="G94" s="326"/>
      <c r="H94" s="326"/>
      <c r="I94" s="326"/>
    </row>
    <row r="95" spans="1:10">
      <c r="A95" s="326"/>
      <c r="B95" s="327"/>
      <c r="C95" s="328"/>
      <c r="D95" s="327"/>
      <c r="E95" s="327"/>
      <c r="F95" s="326"/>
      <c r="G95" s="326"/>
      <c r="H95" s="326"/>
      <c r="I95" s="326"/>
    </row>
    <row r="96" spans="1:10">
      <c r="A96" s="326"/>
      <c r="B96" s="327"/>
      <c r="C96" s="328"/>
      <c r="D96" s="327"/>
      <c r="E96" s="327"/>
      <c r="F96" s="326"/>
      <c r="G96" s="326"/>
      <c r="H96" s="326"/>
      <c r="I96" s="326"/>
    </row>
  </sheetData>
  <sheetProtection password="C4AC" sheet="1" objects="1" scenarios="1" formatCells="0" selectLockedCells="1"/>
  <phoneticPr fontId="23" type="noConversion"/>
  <printOptions horizontalCentered="1" verticalCentered="1" gridLinesSet="0"/>
  <pageMargins left="0.75" right="0.75" top="0.6" bottom="0.6" header="0.5" footer="0.5"/>
  <pageSetup scale="56" orientation="landscape" horizontalDpi="4294967292" verticalDpi="4294967292"/>
  <headerFooter alignWithMargins="0"/>
  <drawing r:id="rId1"/>
  <legacyDrawing r:id="rId2"/>
  <oleObjects>
    <oleObject progId="MSPhotoEd.3" shapeId="13120" r:id="rId3"/>
    <oleObject progId="MSPhotoEd.3" shapeId="1312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295</vt:i4>
      </vt:variant>
    </vt:vector>
  </HeadingPairs>
  <TitlesOfParts>
    <vt:vector size="309" baseType="lpstr">
      <vt:lpstr>1) Set Units </vt:lpstr>
      <vt:lpstr>2) Choose Material</vt:lpstr>
      <vt:lpstr>3) Set Cross Section</vt:lpstr>
      <vt:lpstr>Column Buckling</vt:lpstr>
      <vt:lpstr>Simple - Conc. F</vt:lpstr>
      <vt:lpstr>Simple -Conc. M</vt:lpstr>
      <vt:lpstr>Simple - Dist. A</vt:lpstr>
      <vt:lpstr>Simple - Dist. B</vt:lpstr>
      <vt:lpstr>Simple A + B</vt:lpstr>
      <vt:lpstr>Cant.-Conc. F</vt:lpstr>
      <vt:lpstr>Cant. Conc. M</vt:lpstr>
      <vt:lpstr>Cant.-Dist.A</vt:lpstr>
      <vt:lpstr>Cant.-Dist.B</vt:lpstr>
      <vt:lpstr>Cant 1+2</vt:lpstr>
      <vt:lpstr>'Cant 1+2'!a</vt:lpstr>
      <vt:lpstr>'Cant. Conc. M'!a</vt:lpstr>
      <vt:lpstr>'Cant.-Conc. F'!a</vt:lpstr>
      <vt:lpstr>'Cant.-Dist.A'!a</vt:lpstr>
      <vt:lpstr>'Cant.-Dist.B'!a</vt:lpstr>
      <vt:lpstr>'Column Buckling'!a</vt:lpstr>
      <vt:lpstr>'Simple - Conc. F'!a</vt:lpstr>
      <vt:lpstr>'Simple - Dist. B'!a</vt:lpstr>
      <vt:lpstr>'Simple A + B'!a</vt:lpstr>
      <vt:lpstr>'Simple -Conc. M'!a</vt:lpstr>
      <vt:lpstr>a</vt:lpstr>
      <vt:lpstr>'Cant 1+2'!a_C1</vt:lpstr>
      <vt:lpstr>'Cant. Conc. M'!a_C1</vt:lpstr>
      <vt:lpstr>'Cant.-Conc. F'!a_C1</vt:lpstr>
      <vt:lpstr>'Cant.-Dist.A'!a_C1</vt:lpstr>
      <vt:lpstr>'Cant.-Dist.B'!a_C1</vt:lpstr>
      <vt:lpstr>'Column Buckling'!a_C1</vt:lpstr>
      <vt:lpstr>'Simple - Conc. F'!a_C1</vt:lpstr>
      <vt:lpstr>'Simple - Dist. B'!a_C1</vt:lpstr>
      <vt:lpstr>'Simple A + B'!a_C1</vt:lpstr>
      <vt:lpstr>'Simple -Conc. M'!a_C1</vt:lpstr>
      <vt:lpstr>a_C1</vt:lpstr>
      <vt:lpstr>'Cant 1+2'!a_C1p</vt:lpstr>
      <vt:lpstr>'Cant. Conc. M'!a_C1p</vt:lpstr>
      <vt:lpstr>'Cant.-Conc. F'!a_C1p</vt:lpstr>
      <vt:lpstr>'Cant.-Dist.A'!a_C1p</vt:lpstr>
      <vt:lpstr>'Cant.-Dist.B'!a_C1p</vt:lpstr>
      <vt:lpstr>'Column Buckling'!a_C1p</vt:lpstr>
      <vt:lpstr>'Simple - Conc. F'!a_C1p</vt:lpstr>
      <vt:lpstr>'Simple - Dist. B'!a_C1p</vt:lpstr>
      <vt:lpstr>'Simple A + B'!a_C1p</vt:lpstr>
      <vt:lpstr>'Simple -Conc. M'!a_C1p</vt:lpstr>
      <vt:lpstr>a_C1p</vt:lpstr>
      <vt:lpstr>'Cant 1+2'!a_C1pp</vt:lpstr>
      <vt:lpstr>'Cant. Conc. M'!a_C1pp</vt:lpstr>
      <vt:lpstr>'Cant.-Conc. F'!a_C1pp</vt:lpstr>
      <vt:lpstr>'Cant.-Dist.A'!a_C1pp</vt:lpstr>
      <vt:lpstr>'Cant.-Dist.B'!a_C1pp</vt:lpstr>
      <vt:lpstr>'Column Buckling'!a_C1pp</vt:lpstr>
      <vt:lpstr>'Simple - Conc. F'!a_C1pp</vt:lpstr>
      <vt:lpstr>'Simple - Dist. B'!a_C1pp</vt:lpstr>
      <vt:lpstr>'Simple A + B'!a_C1pp</vt:lpstr>
      <vt:lpstr>'Simple -Conc. M'!a_C1pp</vt:lpstr>
      <vt:lpstr>a_C1pp</vt:lpstr>
      <vt:lpstr>'Cant 1+2'!a_C2</vt:lpstr>
      <vt:lpstr>'Cant. Conc. M'!a_C2</vt:lpstr>
      <vt:lpstr>'Cant.-Conc. F'!a_C2</vt:lpstr>
      <vt:lpstr>'Cant.-Dist.A'!a_C2</vt:lpstr>
      <vt:lpstr>'Cant.-Dist.B'!a_C2</vt:lpstr>
      <vt:lpstr>'Column Buckling'!a_C2</vt:lpstr>
      <vt:lpstr>'Simple - Conc. F'!a_C2</vt:lpstr>
      <vt:lpstr>'Simple - Dist. B'!a_C2</vt:lpstr>
      <vt:lpstr>'Simple A + B'!a_C2</vt:lpstr>
      <vt:lpstr>'Simple -Conc. M'!a_C2</vt:lpstr>
      <vt:lpstr>a_C2</vt:lpstr>
      <vt:lpstr>'Cant 1+2'!a_C2p</vt:lpstr>
      <vt:lpstr>'Cant. Conc. M'!a_C2p</vt:lpstr>
      <vt:lpstr>'Cant.-Conc. F'!a_C2p</vt:lpstr>
      <vt:lpstr>'Cant.-Dist.A'!a_C2p</vt:lpstr>
      <vt:lpstr>'Cant.-Dist.B'!a_C2p</vt:lpstr>
      <vt:lpstr>'Column Buckling'!a_C2p</vt:lpstr>
      <vt:lpstr>'Simple - Conc. F'!a_C2p</vt:lpstr>
      <vt:lpstr>'Simple - Dist. B'!a_C2p</vt:lpstr>
      <vt:lpstr>'Simple A + B'!a_C2p</vt:lpstr>
      <vt:lpstr>'Simple -Conc. M'!a_C2p</vt:lpstr>
      <vt:lpstr>a_C2p</vt:lpstr>
      <vt:lpstr>'Cant 1+2'!a_C2pp</vt:lpstr>
      <vt:lpstr>'Cant. Conc. M'!a_C2pp</vt:lpstr>
      <vt:lpstr>'Cant.-Conc. F'!a_C2pp</vt:lpstr>
      <vt:lpstr>'Cant.-Dist.A'!a_C2pp</vt:lpstr>
      <vt:lpstr>'Cant.-Dist.B'!a_C2pp</vt:lpstr>
      <vt:lpstr>'Column Buckling'!a_C2pp</vt:lpstr>
      <vt:lpstr>'Simple - Conc. F'!a_C2pp</vt:lpstr>
      <vt:lpstr>'Simple - Dist. B'!a_C2pp</vt:lpstr>
      <vt:lpstr>'Simple A + B'!a_C2pp</vt:lpstr>
      <vt:lpstr>'Simple -Conc. M'!a_C2pp</vt:lpstr>
      <vt:lpstr>a_C2pp</vt:lpstr>
      <vt:lpstr>A_CS</vt:lpstr>
      <vt:lpstr>ActivationID</vt:lpstr>
      <vt:lpstr>ActiveMaterial</vt:lpstr>
      <vt:lpstr>ActiveSection</vt:lpstr>
      <vt:lpstr>ActiveUnits</vt:lpstr>
      <vt:lpstr>'Cant 1+2'!b</vt:lpstr>
      <vt:lpstr>'Cant.-Dist.A'!b</vt:lpstr>
      <vt:lpstr>'Cant.-Dist.B'!b</vt:lpstr>
      <vt:lpstr>'Simple - Dist. A'!b</vt:lpstr>
      <vt:lpstr>'Simple - Dist. B'!b</vt:lpstr>
      <vt:lpstr>'Simple A + B'!b</vt:lpstr>
      <vt:lpstr>cm_to_in</vt:lpstr>
      <vt:lpstr>cm_to_m</vt:lpstr>
      <vt:lpstr>Conv_E</vt:lpstr>
      <vt:lpstr>Conv_r</vt:lpstr>
      <vt:lpstr>Conv_s</vt:lpstr>
      <vt:lpstr>Conv_x</vt:lpstr>
      <vt:lpstr>CopyrightNotice</vt:lpstr>
      <vt:lpstr>CorrectID</vt:lpstr>
      <vt:lpstr>Density</vt:lpstr>
      <vt:lpstr>DistanceUnits</vt:lpstr>
      <vt:lpstr>E</vt:lpstr>
      <vt:lpstr>ElliA</vt:lpstr>
      <vt:lpstr>ElliB</vt:lpstr>
      <vt:lpstr>ElliB_</vt:lpstr>
      <vt:lpstr>ElliH</vt:lpstr>
      <vt:lpstr>ElliH_</vt:lpstr>
      <vt:lpstr>ElliIx</vt:lpstr>
      <vt:lpstr>ElliIx1</vt:lpstr>
      <vt:lpstr>ElliIy</vt:lpstr>
      <vt:lpstr>ElliIy1</vt:lpstr>
      <vt:lpstr>ElliIz</vt:lpstr>
      <vt:lpstr>ElliIz1</vt:lpstr>
      <vt:lpstr>ElliKz</vt:lpstr>
      <vt:lpstr>ElliXb</vt:lpstr>
      <vt:lpstr>ElliYb</vt:lpstr>
      <vt:lpstr>Expiration</vt:lpstr>
      <vt:lpstr>'Cant.-Dist.A'!foo</vt:lpstr>
      <vt:lpstr>'Cant.-Dist.B'!foo</vt:lpstr>
      <vt:lpstr>foo</vt:lpstr>
      <vt:lpstr>ForceUnits</vt:lpstr>
      <vt:lpstr>ft_to_in</vt:lpstr>
      <vt:lpstr>ft_to_m</vt:lpstr>
      <vt:lpstr>g_SI</vt:lpstr>
      <vt:lpstr>g_to_kg</vt:lpstr>
      <vt:lpstr>'Cant.-Dist.A'!I_a</vt:lpstr>
      <vt:lpstr>'Cant.-Dist.B'!I_a</vt:lpstr>
      <vt:lpstr>IBeamA</vt:lpstr>
      <vt:lpstr>IBeamB</vt:lpstr>
      <vt:lpstr>IBeamH</vt:lpstr>
      <vt:lpstr>IBeamIx</vt:lpstr>
      <vt:lpstr>IBeamIx1</vt:lpstr>
      <vt:lpstr>IBeamIy</vt:lpstr>
      <vt:lpstr>IBeamIy1</vt:lpstr>
      <vt:lpstr>IBeamIz</vt:lpstr>
      <vt:lpstr>IbeamIz1</vt:lpstr>
      <vt:lpstr>IBeamKz</vt:lpstr>
      <vt:lpstr>IBeamTf</vt:lpstr>
      <vt:lpstr>IBeamTw</vt:lpstr>
      <vt:lpstr>IbeamXb</vt:lpstr>
      <vt:lpstr>IBeamYb</vt:lpstr>
      <vt:lpstr>in_to_cm</vt:lpstr>
      <vt:lpstr>in_to_ft</vt:lpstr>
      <vt:lpstr>InGracePeriod</vt:lpstr>
      <vt:lpstr>IsRegistered</vt:lpstr>
      <vt:lpstr>IsValidUser</vt:lpstr>
      <vt:lpstr>Ix</vt:lpstr>
      <vt:lpstr>'Cant 1+2'!K</vt:lpstr>
      <vt:lpstr>'Cant. Conc. M'!K</vt:lpstr>
      <vt:lpstr>'Cant.-Conc. F'!K</vt:lpstr>
      <vt:lpstr>'Cant.-Dist.A'!K</vt:lpstr>
      <vt:lpstr>'Cant.-Dist.B'!K</vt:lpstr>
      <vt:lpstr>'Simple - Conc. F'!K</vt:lpstr>
      <vt:lpstr>'Simple - Dist. B'!K</vt:lpstr>
      <vt:lpstr>'Simple A + B'!K</vt:lpstr>
      <vt:lpstr>'Simple -Conc. M'!K</vt:lpstr>
      <vt:lpstr>K</vt:lpstr>
      <vt:lpstr>kg_to_g</vt:lpstr>
      <vt:lpstr>kg_to_lb</vt:lpstr>
      <vt:lpstr>kg_to_slug</vt:lpstr>
      <vt:lpstr>'Cant 1+2'!L</vt:lpstr>
      <vt:lpstr>'Cant. Conc. M'!L</vt:lpstr>
      <vt:lpstr>'Cant.-Conc. F'!L</vt:lpstr>
      <vt:lpstr>'Cant.-Dist.A'!L</vt:lpstr>
      <vt:lpstr>'Cant.-Dist.B'!L</vt:lpstr>
      <vt:lpstr>'Column Buckling'!L</vt:lpstr>
      <vt:lpstr>'Simple - Conc. F'!L</vt:lpstr>
      <vt:lpstr>'Simple - Dist. B'!L</vt:lpstr>
      <vt:lpstr>'Simple A + B'!L</vt:lpstr>
      <vt:lpstr>'Simple -Conc. M'!L</vt:lpstr>
      <vt:lpstr>L</vt:lpstr>
      <vt:lpstr>lb_to_kg</vt:lpstr>
      <vt:lpstr>lb_to_N</vt:lpstr>
      <vt:lpstr>lb_to_slug</vt:lpstr>
      <vt:lpstr>'Cant. Conc. M'!M</vt:lpstr>
      <vt:lpstr>'Simple -Conc. M'!M</vt:lpstr>
      <vt:lpstr>m_to_cm</vt:lpstr>
      <vt:lpstr>m_to_ft</vt:lpstr>
      <vt:lpstr>'Cant. Conc. M'!Ma</vt:lpstr>
      <vt:lpstr>'Cant.-Dist.A'!Ma</vt:lpstr>
      <vt:lpstr>'Cant.-Dist.B'!Ma</vt:lpstr>
      <vt:lpstr>MassNWeightUnits</vt:lpstr>
      <vt:lpstr>MaterialTable</vt:lpstr>
      <vt:lpstr>'Cant 1+2'!Mmax</vt:lpstr>
      <vt:lpstr>'Cant. Conc. M'!Mmax</vt:lpstr>
      <vt:lpstr>'Cant.-Conc. F'!Mmax</vt:lpstr>
      <vt:lpstr>'Cant.-Dist.A'!Mmax</vt:lpstr>
      <vt:lpstr>'Cant.-Dist.B'!Mmax</vt:lpstr>
      <vt:lpstr>'Column Buckling'!Mmax</vt:lpstr>
      <vt:lpstr>'Simple - Conc. F'!Mmax</vt:lpstr>
      <vt:lpstr>'Simple - Dist. B'!Mmax</vt:lpstr>
      <vt:lpstr>'Simple A + B'!Mmax</vt:lpstr>
      <vt:lpstr>'Simple -Conc. M'!Mmax</vt:lpstr>
      <vt:lpstr>Mmax</vt:lpstr>
      <vt:lpstr>N_to_lb</vt:lpstr>
      <vt:lpstr>'Cant. Conc. M'!P</vt:lpstr>
      <vt:lpstr>'Cant.-Conc. F'!P</vt:lpstr>
      <vt:lpstr>'Column Buckling'!P</vt:lpstr>
      <vt:lpstr>'Simple -Conc. M'!P</vt:lpstr>
      <vt:lpstr>P</vt:lpstr>
      <vt:lpstr>'Cant 1+2'!Ra</vt:lpstr>
      <vt:lpstr>'Cant. Conc. M'!Ra</vt:lpstr>
      <vt:lpstr>'Cant.-Conc. F'!Ra</vt:lpstr>
      <vt:lpstr>'Cant.-Dist.A'!Ra</vt:lpstr>
      <vt:lpstr>'Cant.-Dist.B'!Ra</vt:lpstr>
      <vt:lpstr>'Column Buckling'!Ra</vt:lpstr>
      <vt:lpstr>'Simple - Conc. F'!Ra</vt:lpstr>
      <vt:lpstr>'Simple - Dist. B'!Ra</vt:lpstr>
      <vt:lpstr>'Simple A + B'!Ra</vt:lpstr>
      <vt:lpstr>'Simple -Conc. M'!Ra</vt:lpstr>
      <vt:lpstr>Ra</vt:lpstr>
      <vt:lpstr>'Cant 1+2'!Range</vt:lpstr>
      <vt:lpstr>'Cant. Conc. M'!Range</vt:lpstr>
      <vt:lpstr>'Cant.-Conc. F'!Range</vt:lpstr>
      <vt:lpstr>'Cant.-Dist.A'!Range</vt:lpstr>
      <vt:lpstr>'Cant.-Dist.B'!Range</vt:lpstr>
      <vt:lpstr>'Column Buckling'!Range</vt:lpstr>
      <vt:lpstr>'Simple - Conc. F'!Range</vt:lpstr>
      <vt:lpstr>'Simple - Dist. B'!Range</vt:lpstr>
      <vt:lpstr>'Simple A + B'!Range</vt:lpstr>
      <vt:lpstr>'Simple -Conc. M'!Range</vt:lpstr>
      <vt:lpstr>Range</vt:lpstr>
      <vt:lpstr>'Cant 1+2'!Rb</vt:lpstr>
      <vt:lpstr>'Cant. Conc. M'!Rb</vt:lpstr>
      <vt:lpstr>'Cant.-Conc. F'!Rb</vt:lpstr>
      <vt:lpstr>'Cant.-Dist.A'!Rb</vt:lpstr>
      <vt:lpstr>'Cant.-Dist.B'!Rb</vt:lpstr>
      <vt:lpstr>'Column Buckling'!Rb</vt:lpstr>
      <vt:lpstr>'Simple - Conc. F'!Rb</vt:lpstr>
      <vt:lpstr>'Simple - Dist. B'!Rb</vt:lpstr>
      <vt:lpstr>'Simple A + B'!Rb</vt:lpstr>
      <vt:lpstr>'Simple -Conc. M'!Rb</vt:lpstr>
      <vt:lpstr>Rb</vt:lpstr>
      <vt:lpstr>RectA</vt:lpstr>
      <vt:lpstr>RectB</vt:lpstr>
      <vt:lpstr>RectB_</vt:lpstr>
      <vt:lpstr>RectH</vt:lpstr>
      <vt:lpstr>RectH_</vt:lpstr>
      <vt:lpstr>RectIx</vt:lpstr>
      <vt:lpstr>RectIx1</vt:lpstr>
      <vt:lpstr>RectIy</vt:lpstr>
      <vt:lpstr>RectIy1</vt:lpstr>
      <vt:lpstr>RectIz</vt:lpstr>
      <vt:lpstr>RectIz1</vt:lpstr>
      <vt:lpstr>RectKz</vt:lpstr>
      <vt:lpstr>RectXb</vt:lpstr>
      <vt:lpstr>RectYb</vt:lpstr>
      <vt:lpstr>RegisterFront</vt:lpstr>
      <vt:lpstr>SectionTable</vt:lpstr>
      <vt:lpstr>Sheet1</vt:lpstr>
      <vt:lpstr>Sheet2</vt:lpstr>
      <vt:lpstr>'Cant 1+2'!SheetA</vt:lpstr>
      <vt:lpstr>SheetA</vt:lpstr>
      <vt:lpstr>'Cant 1+2'!SheetB</vt:lpstr>
      <vt:lpstr>SheetB</vt:lpstr>
      <vt:lpstr>slug_to_kg</vt:lpstr>
      <vt:lpstr>slug_to_lb</vt:lpstr>
      <vt:lpstr>Strength</vt:lpstr>
      <vt:lpstr>UnitsTable</vt:lpstr>
      <vt:lpstr>US_to_SI_E</vt:lpstr>
      <vt:lpstr>US_to_SI_r</vt:lpstr>
      <vt:lpstr>US_to_SI_s</vt:lpstr>
      <vt:lpstr>US_to_SI_x</vt:lpstr>
      <vt:lpstr>'Cant 1+2'!V</vt:lpstr>
      <vt:lpstr>'Cant. Conc. M'!V</vt:lpstr>
      <vt:lpstr>'Cant.-Conc. F'!V</vt:lpstr>
      <vt:lpstr>'Cant.-Dist.A'!V</vt:lpstr>
      <vt:lpstr>'Cant.-Dist.B'!V</vt:lpstr>
      <vt:lpstr>'Column Buckling'!V</vt:lpstr>
      <vt:lpstr>'Simple - Conc. F'!V</vt:lpstr>
      <vt:lpstr>'Simple - Dist. B'!V</vt:lpstr>
      <vt:lpstr>'Simple A + B'!V</vt:lpstr>
      <vt:lpstr>'Simple -Conc. M'!V</vt:lpstr>
      <vt:lpstr>V</vt:lpstr>
      <vt:lpstr>'Cant 1+2'!wb</vt:lpstr>
      <vt:lpstr>'Cant.-Dist.A'!wb</vt:lpstr>
      <vt:lpstr>'Cant.-Dist.B'!wb</vt:lpstr>
      <vt:lpstr>'Simple - Dist. A'!wb</vt:lpstr>
      <vt:lpstr>'Simple - Dist. B'!wb</vt:lpstr>
      <vt:lpstr>'Simple A + B'!wb</vt:lpstr>
      <vt:lpstr>'Cant 1+2'!wm</vt:lpstr>
      <vt:lpstr>'Cant.-Dist.A'!wm</vt:lpstr>
      <vt:lpstr>'Cant.-Dist.B'!wm</vt:lpstr>
      <vt:lpstr>'Simple - Dist. A'!wm</vt:lpstr>
      <vt:lpstr>'Simple - Dist. B'!wm</vt:lpstr>
      <vt:lpstr>'Simple A + B'!wm</vt:lpstr>
      <vt:lpstr>'Cant 1+2'!x</vt:lpstr>
      <vt:lpstr>'Cant. Conc. M'!x</vt:lpstr>
      <vt:lpstr>'Cant.-Conc. F'!x</vt:lpstr>
      <vt:lpstr>'Cant.-Dist.A'!x</vt:lpstr>
      <vt:lpstr>'Cant.-Dist.B'!x</vt:lpstr>
      <vt:lpstr>'Column Buckling'!x</vt:lpstr>
      <vt:lpstr>'Simple - Conc. F'!x</vt:lpstr>
      <vt:lpstr>'Simple - Dist. B'!x</vt:lpstr>
      <vt:lpstr>'Simple A + B'!x</vt:lpstr>
      <vt:lpstr>'Simple -Conc. M'!x</vt:lpstr>
      <vt:lpstr>x</vt:lpstr>
      <vt:lpstr>Ybar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Simply Supported Beam</dc:title>
  <dc:subject>Beams in Bending</dc:subject>
  <dc:creator>Van Warren</dc:creator>
  <cp:keywords>Beams, Bending, Designer's Desktop™</cp:keywords>
  <dc:description>Version 4.0
</dc:description>
  <cp:lastModifiedBy>L. Van Warren</cp:lastModifiedBy>
  <dcterms:created xsi:type="dcterms:W3CDTF">2000-09-06T15:23:16Z</dcterms:created>
  <dcterms:modified xsi:type="dcterms:W3CDTF">2008-08-14T04:11:28Z</dcterms:modified>
</cp:coreProperties>
</file>